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120" yWindow="-120" windowWidth="20730" windowHeight="11040" firstSheet="1" activeTab="10"/>
  </bookViews>
  <sheets>
    <sheet name="foxz" sheetId="2" state="veryHidden" r:id="rId1"/>
    <sheet name="1.Thành phố ĐBP" sheetId="25" r:id="rId2"/>
    <sheet name="2. Huyện Điện Biên" sheetId="17" r:id="rId3"/>
    <sheet name="3. Điện Biên Đông" sheetId="20" r:id="rId4"/>
    <sheet name="4. Mường Ảng" sheetId="26" r:id="rId5"/>
    <sheet name="5. Tuần Giáo" sheetId="6" r:id="rId6"/>
    <sheet name="6. Mường Nhé" sheetId="19" r:id="rId7"/>
    <sheet name="7.Mường Chà" sheetId="24" r:id="rId8"/>
    <sheet name="8. Nậm Pồ" sheetId="9" r:id="rId9"/>
    <sheet name="9. Tủa Chùa" sheetId="27" r:id="rId10"/>
    <sheet name="10. Mường Lay" sheetId="21" r:id="rId11"/>
  </sheets>
  <definedNames>
    <definedName name="_xlnm._FilterDatabase" localSheetId="2" hidden="1">'2. Huyện Điện Biên'!$A$4:$W$291</definedName>
    <definedName name="_xlnm._FilterDatabase" localSheetId="3" hidden="1">'3. Điện Biên Đông'!$A$2:$WVT$94</definedName>
    <definedName name="_xlnm._FilterDatabase" localSheetId="6" hidden="1">'6. Mường Nhé'!$A$3:$M$92</definedName>
    <definedName name="_xlnm.Print_Titles" localSheetId="1">'1.Thành phố ĐBP'!$5:$6</definedName>
    <definedName name="_xlnm.Print_Titles" localSheetId="10">'10. Mường Lay'!$3:$4</definedName>
    <definedName name="_xlnm.Print_Titles" localSheetId="2">'2. Huyện Điện Biên'!$3:$4</definedName>
    <definedName name="_xlnm.Print_Titles" localSheetId="3">'3. Điện Biên Đông'!$3:$4</definedName>
    <definedName name="_xlnm.Print_Titles" localSheetId="4">'4. Mường Ảng'!$3:$4</definedName>
    <definedName name="_xlnm.Print_Titles" localSheetId="5">'5. Tuần Giáo'!$4:$5</definedName>
    <definedName name="_xlnm.Print_Titles" localSheetId="6">'6. Mường Nhé'!$3:$4</definedName>
    <definedName name="_xlnm.Print_Titles" localSheetId="7">'7.Mường Chà'!$3:$6</definedName>
    <definedName name="_xlnm.Print_Titles" localSheetId="8">'8. Nậm Pồ'!$3:$4</definedName>
    <definedName name="_xlnm.Print_Titles" localSheetId="9">'9. Tủa Chùa'!$3:$4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25" l="1"/>
  <c r="J40" i="27"/>
  <c r="I40" i="27"/>
  <c r="H40" i="27"/>
  <c r="J39" i="27"/>
  <c r="I39" i="27"/>
  <c r="H39" i="27"/>
  <c r="J37" i="27"/>
  <c r="I37" i="27"/>
  <c r="H37" i="27"/>
  <c r="J36" i="27"/>
  <c r="I36" i="27"/>
  <c r="H36" i="27"/>
  <c r="J34" i="27"/>
  <c r="I34" i="27"/>
  <c r="H34" i="27"/>
  <c r="J33" i="27"/>
  <c r="I33" i="27"/>
  <c r="H33" i="27"/>
  <c r="J31" i="27"/>
  <c r="I31" i="27"/>
  <c r="H31" i="27"/>
  <c r="J30" i="27"/>
  <c r="I30" i="27"/>
  <c r="H30" i="27"/>
  <c r="J28" i="27"/>
  <c r="I28" i="27"/>
  <c r="H28" i="27"/>
  <c r="J27" i="27"/>
  <c r="I27" i="27"/>
  <c r="H27" i="27"/>
  <c r="J25" i="27"/>
  <c r="I25" i="27"/>
  <c r="H25" i="27"/>
  <c r="J24" i="27"/>
  <c r="I24" i="27"/>
  <c r="H24" i="27"/>
  <c r="J23" i="27"/>
  <c r="I23" i="27"/>
  <c r="H23" i="27"/>
  <c r="J21" i="27"/>
  <c r="I21" i="27"/>
  <c r="H21" i="27"/>
  <c r="J20" i="27"/>
  <c r="I20" i="27"/>
  <c r="H20" i="27"/>
  <c r="J18" i="27"/>
  <c r="I18" i="27"/>
  <c r="H18" i="27"/>
  <c r="J17" i="27"/>
  <c r="I17" i="27"/>
  <c r="H17" i="27"/>
  <c r="J15" i="27"/>
  <c r="I15" i="27"/>
  <c r="H15" i="27"/>
  <c r="J14" i="27"/>
  <c r="I14" i="27"/>
  <c r="H14" i="27"/>
  <c r="J12" i="27"/>
  <c r="I12" i="27"/>
  <c r="H12" i="27"/>
  <c r="J11" i="27"/>
  <c r="I11" i="27"/>
  <c r="H11" i="27"/>
  <c r="J9" i="27"/>
  <c r="I9" i="27"/>
  <c r="H9" i="27"/>
  <c r="J8" i="27"/>
  <c r="I8" i="27"/>
  <c r="H8" i="27"/>
  <c r="J7" i="27"/>
  <c r="I7" i="27"/>
  <c r="H7" i="27"/>
  <c r="J6" i="27"/>
  <c r="I6" i="27"/>
  <c r="H6" i="27"/>
  <c r="K126" i="26" l="1"/>
  <c r="J126" i="26"/>
  <c r="M126" i="26" s="1"/>
  <c r="I126" i="26"/>
  <c r="L126" i="26" s="1"/>
  <c r="H126" i="26"/>
  <c r="M125" i="26"/>
  <c r="L125" i="26"/>
  <c r="J125" i="26"/>
  <c r="I125" i="26"/>
  <c r="H125" i="26"/>
  <c r="K125" i="26" s="1"/>
  <c r="J124" i="26"/>
  <c r="M124" i="26" s="1"/>
  <c r="I124" i="26"/>
  <c r="L124" i="26" s="1"/>
  <c r="H124" i="26"/>
  <c r="K124" i="26" s="1"/>
  <c r="M122" i="26"/>
  <c r="J122" i="26"/>
  <c r="I122" i="26"/>
  <c r="L122" i="26" s="1"/>
  <c r="H122" i="26"/>
  <c r="K122" i="26" s="1"/>
  <c r="J121" i="26"/>
  <c r="M121" i="26" s="1"/>
  <c r="I121" i="26"/>
  <c r="L121" i="26" s="1"/>
  <c r="H121" i="26"/>
  <c r="K121" i="26" s="1"/>
  <c r="L119" i="26"/>
  <c r="J119" i="26"/>
  <c r="M119" i="26" s="1"/>
  <c r="I119" i="26"/>
  <c r="H119" i="26"/>
  <c r="K119" i="26" s="1"/>
  <c r="J117" i="26"/>
  <c r="M117" i="26" s="1"/>
  <c r="I117" i="26"/>
  <c r="L117" i="26" s="1"/>
  <c r="H117" i="26"/>
  <c r="K117" i="26" s="1"/>
  <c r="J116" i="26"/>
  <c r="M116" i="26" s="1"/>
  <c r="I116" i="26"/>
  <c r="L116" i="26" s="1"/>
  <c r="H116" i="26"/>
  <c r="K116" i="26" s="1"/>
  <c r="J114" i="26"/>
  <c r="M114" i="26" s="1"/>
  <c r="I114" i="26"/>
  <c r="L114" i="26" s="1"/>
  <c r="H114" i="26"/>
  <c r="K114" i="26" s="1"/>
  <c r="J113" i="26"/>
  <c r="M113" i="26" s="1"/>
  <c r="I113" i="26"/>
  <c r="L113" i="26" s="1"/>
  <c r="H113" i="26"/>
  <c r="K113" i="26" s="1"/>
  <c r="J111" i="26"/>
  <c r="M111" i="26" s="1"/>
  <c r="I111" i="26"/>
  <c r="L111" i="26" s="1"/>
  <c r="H111" i="26"/>
  <c r="K111" i="26" s="1"/>
  <c r="L110" i="26"/>
  <c r="J110" i="26"/>
  <c r="M110" i="26" s="1"/>
  <c r="I110" i="26"/>
  <c r="H110" i="26"/>
  <c r="K110" i="26" s="1"/>
  <c r="K108" i="26"/>
  <c r="J108" i="26"/>
  <c r="M108" i="26" s="1"/>
  <c r="I108" i="26"/>
  <c r="L108" i="26" s="1"/>
  <c r="H108" i="26"/>
  <c r="J107" i="26"/>
  <c r="M107" i="26" s="1"/>
  <c r="I107" i="26"/>
  <c r="L107" i="26" s="1"/>
  <c r="H107" i="26"/>
  <c r="K107" i="26" s="1"/>
  <c r="J105" i="26"/>
  <c r="M105" i="26" s="1"/>
  <c r="I105" i="26"/>
  <c r="L105" i="26" s="1"/>
  <c r="H105" i="26"/>
  <c r="K105" i="26" s="1"/>
  <c r="M104" i="26"/>
  <c r="L104" i="26"/>
  <c r="J104" i="26"/>
  <c r="I104" i="26"/>
  <c r="H104" i="26"/>
  <c r="K104" i="26" s="1"/>
  <c r="K102" i="26"/>
  <c r="J102" i="26"/>
  <c r="M102" i="26" s="1"/>
  <c r="I102" i="26"/>
  <c r="L102" i="26" s="1"/>
  <c r="H102" i="26"/>
  <c r="M101" i="26"/>
  <c r="J101" i="26"/>
  <c r="I101" i="26"/>
  <c r="L101" i="26" s="1"/>
  <c r="H101" i="26"/>
  <c r="K101" i="26" s="1"/>
  <c r="J100" i="26"/>
  <c r="M100" i="26" s="1"/>
  <c r="I100" i="26"/>
  <c r="L100" i="26" s="1"/>
  <c r="H100" i="26"/>
  <c r="K100" i="26" s="1"/>
  <c r="M98" i="26"/>
  <c r="J98" i="26"/>
  <c r="I98" i="26"/>
  <c r="L98" i="26" s="1"/>
  <c r="H98" i="26"/>
  <c r="K98" i="26" s="1"/>
  <c r="K97" i="26"/>
  <c r="J97" i="26"/>
  <c r="M97" i="26" s="1"/>
  <c r="I97" i="26"/>
  <c r="L97" i="26" s="1"/>
  <c r="H97" i="26"/>
  <c r="J95" i="26"/>
  <c r="M95" i="26" s="1"/>
  <c r="I95" i="26"/>
  <c r="L95" i="26" s="1"/>
  <c r="H95" i="26"/>
  <c r="K95" i="26" s="1"/>
  <c r="J94" i="26"/>
  <c r="M94" i="26" s="1"/>
  <c r="I94" i="26"/>
  <c r="L94" i="26" s="1"/>
  <c r="H94" i="26"/>
  <c r="K94" i="26" s="1"/>
  <c r="M92" i="26"/>
  <c r="L92" i="26"/>
  <c r="J92" i="26"/>
  <c r="I92" i="26"/>
  <c r="H92" i="26"/>
  <c r="K92" i="26" s="1"/>
  <c r="K90" i="26"/>
  <c r="J90" i="26"/>
  <c r="M90" i="26" s="1"/>
  <c r="I90" i="26"/>
  <c r="L90" i="26" s="1"/>
  <c r="H90" i="26"/>
  <c r="M89" i="26"/>
  <c r="J89" i="26"/>
  <c r="I89" i="26"/>
  <c r="L89" i="26" s="1"/>
  <c r="H89" i="26"/>
  <c r="K89" i="26" s="1"/>
  <c r="J87" i="26"/>
  <c r="M87" i="26" s="1"/>
  <c r="I87" i="26"/>
  <c r="L87" i="26" s="1"/>
  <c r="H87" i="26"/>
  <c r="K87" i="26" s="1"/>
  <c r="M86" i="26"/>
  <c r="J86" i="26"/>
  <c r="I86" i="26"/>
  <c r="L86" i="26" s="1"/>
  <c r="H86" i="26"/>
  <c r="K86" i="26" s="1"/>
  <c r="K84" i="26"/>
  <c r="J84" i="26"/>
  <c r="M84" i="26" s="1"/>
  <c r="I84" i="26"/>
  <c r="L84" i="26" s="1"/>
  <c r="H84" i="26"/>
  <c r="J83" i="26"/>
  <c r="M83" i="26" s="1"/>
  <c r="I83" i="26"/>
  <c r="L83" i="26" s="1"/>
  <c r="H83" i="26"/>
  <c r="K83" i="26" s="1"/>
  <c r="J82" i="26"/>
  <c r="M82" i="26" s="1"/>
  <c r="I82" i="26"/>
  <c r="L82" i="26" s="1"/>
  <c r="H82" i="26"/>
  <c r="K82" i="26" s="1"/>
  <c r="M81" i="26"/>
  <c r="L81" i="26"/>
  <c r="J81" i="26"/>
  <c r="I81" i="26"/>
  <c r="H81" i="26"/>
  <c r="K81" i="26" s="1"/>
  <c r="K79" i="26"/>
  <c r="J79" i="26"/>
  <c r="M79" i="26" s="1"/>
  <c r="I79" i="26"/>
  <c r="L79" i="26" s="1"/>
  <c r="H79" i="26"/>
  <c r="M78" i="26"/>
  <c r="J78" i="26"/>
  <c r="I78" i="26"/>
  <c r="L78" i="26" s="1"/>
  <c r="H78" i="26"/>
  <c r="K78" i="26" s="1"/>
  <c r="J76" i="26"/>
  <c r="M76" i="26" s="1"/>
  <c r="I76" i="26"/>
  <c r="L76" i="26" s="1"/>
  <c r="H76" i="26"/>
  <c r="K76" i="26" s="1"/>
  <c r="M75" i="26"/>
  <c r="J75" i="26"/>
  <c r="I75" i="26"/>
  <c r="L75" i="26" s="1"/>
  <c r="H75" i="26"/>
  <c r="K75" i="26" s="1"/>
  <c r="K73" i="26"/>
  <c r="J73" i="26"/>
  <c r="M73" i="26" s="1"/>
  <c r="I73" i="26"/>
  <c r="L73" i="26" s="1"/>
  <c r="H73" i="26"/>
  <c r="J72" i="26"/>
  <c r="M72" i="26" s="1"/>
  <c r="I72" i="26"/>
  <c r="L72" i="26" s="1"/>
  <c r="H72" i="26"/>
  <c r="K72" i="26" s="1"/>
  <c r="J71" i="26"/>
  <c r="M71" i="26" s="1"/>
  <c r="I71" i="26"/>
  <c r="L71" i="26" s="1"/>
  <c r="H71" i="26"/>
  <c r="K71" i="26" s="1"/>
  <c r="M70" i="26"/>
  <c r="L70" i="26"/>
  <c r="J70" i="26"/>
  <c r="I70" i="26"/>
  <c r="H70" i="26"/>
  <c r="K70" i="26" s="1"/>
  <c r="K69" i="26"/>
  <c r="J69" i="26"/>
  <c r="M69" i="26" s="1"/>
  <c r="I69" i="26"/>
  <c r="L69" i="26" s="1"/>
  <c r="H69" i="26"/>
  <c r="M68" i="26"/>
  <c r="J68" i="26"/>
  <c r="I68" i="26"/>
  <c r="L68" i="26" s="1"/>
  <c r="H68" i="26"/>
  <c r="K68" i="26" s="1"/>
  <c r="J67" i="26"/>
  <c r="M67" i="26" s="1"/>
  <c r="I67" i="26"/>
  <c r="L67" i="26" s="1"/>
  <c r="H67" i="26"/>
  <c r="K67" i="26" s="1"/>
  <c r="M66" i="26"/>
  <c r="J66" i="26"/>
  <c r="I66" i="26"/>
  <c r="L66" i="26" s="1"/>
  <c r="H66" i="26"/>
  <c r="K66" i="26" s="1"/>
  <c r="K65" i="26"/>
  <c r="J65" i="26"/>
  <c r="M65" i="26" s="1"/>
  <c r="I65" i="26"/>
  <c r="L65" i="26" s="1"/>
  <c r="H65" i="26"/>
  <c r="J64" i="26"/>
  <c r="M64" i="26" s="1"/>
  <c r="I64" i="26"/>
  <c r="L64" i="26" s="1"/>
  <c r="H64" i="26"/>
  <c r="K64" i="26" s="1"/>
  <c r="J63" i="26"/>
  <c r="I63" i="26"/>
  <c r="J62" i="26"/>
  <c r="M62" i="26" s="1"/>
  <c r="I62" i="26"/>
  <c r="L62" i="26" s="1"/>
  <c r="H62" i="26"/>
  <c r="K62" i="26" s="1"/>
  <c r="J61" i="26"/>
  <c r="M61" i="26" s="1"/>
  <c r="I61" i="26"/>
  <c r="L61" i="26" s="1"/>
  <c r="H61" i="26"/>
  <c r="K61" i="26" s="1"/>
  <c r="J60" i="26"/>
  <c r="M60" i="26" s="1"/>
  <c r="I60" i="26"/>
  <c r="L60" i="26" s="1"/>
  <c r="H60" i="26"/>
  <c r="K60" i="26" s="1"/>
  <c r="K59" i="26"/>
  <c r="J59" i="26"/>
  <c r="M59" i="26" s="1"/>
  <c r="I59" i="26"/>
  <c r="L59" i="26" s="1"/>
  <c r="H59" i="26"/>
  <c r="L57" i="26"/>
  <c r="J57" i="26"/>
  <c r="M57" i="26" s="1"/>
  <c r="I57" i="26"/>
  <c r="H57" i="26"/>
  <c r="K57" i="26" s="1"/>
  <c r="K56" i="26"/>
  <c r="J56" i="26"/>
  <c r="M56" i="26" s="1"/>
  <c r="I56" i="26"/>
  <c r="L56" i="26" s="1"/>
  <c r="H56" i="26"/>
  <c r="M55" i="26"/>
  <c r="L55" i="26"/>
  <c r="J55" i="26"/>
  <c r="I55" i="26"/>
  <c r="H55" i="26"/>
  <c r="K55" i="26" s="1"/>
  <c r="K54" i="26"/>
  <c r="J54" i="26"/>
  <c r="M54" i="26" s="1"/>
  <c r="I54" i="26"/>
  <c r="L54" i="26" s="1"/>
  <c r="L53" i="26"/>
  <c r="K53" i="26"/>
  <c r="J53" i="26"/>
  <c r="M53" i="26" s="1"/>
  <c r="I53" i="26"/>
  <c r="M50" i="26"/>
  <c r="L50" i="26"/>
  <c r="J50" i="26"/>
  <c r="I50" i="26"/>
  <c r="H50" i="26"/>
  <c r="K50" i="26" s="1"/>
  <c r="J49" i="26"/>
  <c r="M49" i="26" s="1"/>
  <c r="I49" i="26"/>
  <c r="L49" i="26" s="1"/>
  <c r="H49" i="26"/>
  <c r="K49" i="26" s="1"/>
  <c r="M48" i="26"/>
  <c r="J48" i="26"/>
  <c r="I48" i="26"/>
  <c r="L48" i="26" s="1"/>
  <c r="H48" i="26"/>
  <c r="K48" i="26" s="1"/>
  <c r="J47" i="26"/>
  <c r="M47" i="26" s="1"/>
  <c r="I47" i="26"/>
  <c r="L47" i="26" s="1"/>
  <c r="H47" i="26"/>
  <c r="K47" i="26" s="1"/>
  <c r="J46" i="26"/>
  <c r="M46" i="26" s="1"/>
  <c r="I46" i="26"/>
  <c r="L46" i="26" s="1"/>
  <c r="H46" i="26"/>
  <c r="K46" i="26" s="1"/>
  <c r="K45" i="26"/>
  <c r="J45" i="26"/>
  <c r="M45" i="26" s="1"/>
  <c r="I45" i="26"/>
  <c r="L45" i="26" s="1"/>
  <c r="H45" i="26"/>
  <c r="L43" i="26"/>
  <c r="J43" i="26"/>
  <c r="M43" i="26" s="1"/>
  <c r="I43" i="26"/>
  <c r="H43" i="26"/>
  <c r="K43" i="26" s="1"/>
  <c r="K42" i="26"/>
  <c r="J42" i="26"/>
  <c r="M42" i="26" s="1"/>
  <c r="I42" i="26"/>
  <c r="L42" i="26" s="1"/>
  <c r="H42" i="26"/>
  <c r="M41" i="26"/>
  <c r="L41" i="26"/>
  <c r="J41" i="26"/>
  <c r="I41" i="26"/>
  <c r="H41" i="26"/>
  <c r="K41" i="26" s="1"/>
  <c r="J39" i="26"/>
  <c r="M39" i="26" s="1"/>
  <c r="I39" i="26"/>
  <c r="L39" i="26" s="1"/>
  <c r="H39" i="26"/>
  <c r="K39" i="26" s="1"/>
  <c r="M38" i="26"/>
  <c r="J38" i="26"/>
  <c r="I38" i="26"/>
  <c r="L38" i="26" s="1"/>
  <c r="H38" i="26"/>
  <c r="K38" i="26" s="1"/>
  <c r="J35" i="26"/>
  <c r="M35" i="26" s="1"/>
  <c r="I35" i="26"/>
  <c r="L35" i="26" s="1"/>
  <c r="H35" i="26"/>
  <c r="K35" i="26" s="1"/>
  <c r="J34" i="26"/>
  <c r="M34" i="26" s="1"/>
  <c r="I34" i="26"/>
  <c r="L34" i="26" s="1"/>
  <c r="H34" i="26"/>
  <c r="K34" i="26" s="1"/>
  <c r="K33" i="26"/>
  <c r="J33" i="26"/>
  <c r="M33" i="26" s="1"/>
  <c r="I33" i="26"/>
  <c r="L33" i="26" s="1"/>
  <c r="H33" i="26"/>
  <c r="L32" i="26"/>
  <c r="J32" i="26"/>
  <c r="M32" i="26" s="1"/>
  <c r="I32" i="26"/>
  <c r="H32" i="26"/>
  <c r="K32" i="26" s="1"/>
  <c r="K31" i="26"/>
  <c r="J31" i="26"/>
  <c r="M31" i="26" s="1"/>
  <c r="I31" i="26"/>
  <c r="L31" i="26" s="1"/>
  <c r="H31" i="26"/>
  <c r="M29" i="26"/>
  <c r="L29" i="26"/>
  <c r="J29" i="26"/>
  <c r="I29" i="26"/>
  <c r="H29" i="26"/>
  <c r="K29" i="26" s="1"/>
  <c r="J28" i="26"/>
  <c r="M28" i="26" s="1"/>
  <c r="I28" i="26"/>
  <c r="L28" i="26" s="1"/>
  <c r="H28" i="26"/>
  <c r="K28" i="26" s="1"/>
  <c r="H26" i="26"/>
  <c r="K26" i="26" s="1"/>
  <c r="K25" i="26"/>
  <c r="H25" i="26"/>
  <c r="H24" i="26"/>
  <c r="K24" i="26" s="1"/>
  <c r="J22" i="26"/>
  <c r="M22" i="26" s="1"/>
  <c r="I22" i="26"/>
  <c r="L22" i="26" s="1"/>
  <c r="H22" i="26"/>
  <c r="K22" i="26" s="1"/>
  <c r="J20" i="26"/>
  <c r="M20" i="26" s="1"/>
  <c r="I20" i="26"/>
  <c r="L20" i="26" s="1"/>
  <c r="H20" i="26"/>
  <c r="K20" i="26" s="1"/>
  <c r="K19" i="26"/>
  <c r="J19" i="26"/>
  <c r="M19" i="26" s="1"/>
  <c r="I19" i="26"/>
  <c r="L19" i="26" s="1"/>
  <c r="H19" i="26"/>
  <c r="J18" i="26"/>
  <c r="M18" i="26" s="1"/>
  <c r="I18" i="26"/>
  <c r="L18" i="26" s="1"/>
  <c r="H18" i="26"/>
  <c r="K18" i="26" s="1"/>
  <c r="J16" i="26"/>
  <c r="M16" i="26" s="1"/>
  <c r="I16" i="26"/>
  <c r="L16" i="26" s="1"/>
  <c r="H16" i="26"/>
  <c r="K16" i="26" s="1"/>
  <c r="L15" i="26"/>
  <c r="J15" i="26"/>
  <c r="M15" i="26" s="1"/>
  <c r="I15" i="26"/>
  <c r="H15" i="26"/>
  <c r="K15" i="26" s="1"/>
  <c r="K13" i="26"/>
  <c r="J13" i="26"/>
  <c r="M13" i="26" s="1"/>
  <c r="I13" i="26"/>
  <c r="L13" i="26" s="1"/>
  <c r="H13" i="26"/>
  <c r="L12" i="26"/>
  <c r="J12" i="26"/>
  <c r="M12" i="26" s="1"/>
  <c r="I12" i="26"/>
  <c r="H12" i="26"/>
  <c r="K12" i="26" s="1"/>
  <c r="J11" i="26"/>
  <c r="M11" i="26" s="1"/>
  <c r="I11" i="26"/>
  <c r="L11" i="26" s="1"/>
  <c r="H11" i="26"/>
  <c r="K11" i="26" s="1"/>
  <c r="M10" i="26"/>
  <c r="L10" i="26"/>
  <c r="K10" i="26"/>
  <c r="L9" i="26"/>
  <c r="J9" i="26"/>
  <c r="M9" i="26" s="1"/>
  <c r="I9" i="26"/>
  <c r="H9" i="26"/>
  <c r="K9" i="26" s="1"/>
  <c r="J8" i="26"/>
  <c r="M8" i="26" s="1"/>
  <c r="I8" i="26"/>
  <c r="L8" i="26" s="1"/>
  <c r="H8" i="26"/>
  <c r="K8" i="26" s="1"/>
  <c r="J7" i="26"/>
  <c r="M7" i="26" s="1"/>
  <c r="I7" i="26"/>
  <c r="L7" i="26" s="1"/>
  <c r="H7" i="26"/>
  <c r="K7" i="26" s="1"/>
  <c r="C59" i="25" l="1"/>
  <c r="I59" i="25" s="1"/>
  <c r="I58" i="25"/>
  <c r="E58" i="25"/>
  <c r="K58" i="25" s="1"/>
  <c r="D58" i="25"/>
  <c r="J58" i="25" s="1"/>
  <c r="C58" i="25"/>
  <c r="K57" i="25"/>
  <c r="E57" i="25"/>
  <c r="D57" i="25"/>
  <c r="J57" i="25" s="1"/>
  <c r="C57" i="25"/>
  <c r="I57" i="25" s="1"/>
  <c r="E56" i="25"/>
  <c r="K56" i="25" s="1"/>
  <c r="D56" i="25"/>
  <c r="J56" i="25" s="1"/>
  <c r="C56" i="25"/>
  <c r="I56" i="25" s="1"/>
  <c r="E55" i="25"/>
  <c r="K55" i="25" s="1"/>
  <c r="D55" i="25"/>
  <c r="J55" i="25" s="1"/>
  <c r="C55" i="25"/>
  <c r="I55" i="25" s="1"/>
  <c r="E54" i="25"/>
  <c r="K54" i="25" s="1"/>
  <c r="D54" i="25"/>
  <c r="J54" i="25" s="1"/>
  <c r="C54" i="25"/>
  <c r="I54" i="25" s="1"/>
  <c r="C52" i="25"/>
  <c r="I52" i="25" s="1"/>
  <c r="E51" i="25"/>
  <c r="K51" i="25" s="1"/>
  <c r="D51" i="25"/>
  <c r="J51" i="25" s="1"/>
  <c r="C51" i="25"/>
  <c r="I51" i="25" s="1"/>
  <c r="J50" i="25"/>
  <c r="E50" i="25"/>
  <c r="K50" i="25" s="1"/>
  <c r="D50" i="25"/>
  <c r="C50" i="25"/>
  <c r="I50" i="25" s="1"/>
  <c r="E48" i="25"/>
  <c r="D48" i="25"/>
  <c r="C48" i="25"/>
  <c r="E47" i="25"/>
  <c r="K47" i="25" s="1"/>
  <c r="D47" i="25"/>
  <c r="J47" i="25" s="1"/>
  <c r="C47" i="25"/>
  <c r="I47" i="25" s="1"/>
  <c r="I46" i="25"/>
  <c r="E46" i="25"/>
  <c r="K46" i="25" s="1"/>
  <c r="D46" i="25"/>
  <c r="J46" i="25" s="1"/>
  <c r="C46" i="25"/>
  <c r="E45" i="25"/>
  <c r="K45" i="25" s="1"/>
  <c r="D45" i="25"/>
  <c r="J45" i="25" s="1"/>
  <c r="C45" i="25"/>
  <c r="I45" i="25" s="1"/>
  <c r="C43" i="25"/>
  <c r="I43" i="25" s="1"/>
  <c r="K42" i="25"/>
  <c r="E42" i="25"/>
  <c r="D42" i="25"/>
  <c r="J42" i="25" s="1"/>
  <c r="C42" i="25"/>
  <c r="I42" i="25" s="1"/>
  <c r="E41" i="25"/>
  <c r="K41" i="25" s="1"/>
  <c r="D41" i="25"/>
  <c r="J41" i="25" s="1"/>
  <c r="C41" i="25"/>
  <c r="I41" i="25" s="1"/>
  <c r="K40" i="25"/>
  <c r="E40" i="25"/>
  <c r="D40" i="25"/>
  <c r="J40" i="25" s="1"/>
  <c r="C40" i="25"/>
  <c r="I40" i="25" s="1"/>
  <c r="E39" i="25"/>
  <c r="K39" i="25" s="1"/>
  <c r="D39" i="25"/>
  <c r="J39" i="25" s="1"/>
  <c r="C39" i="25"/>
  <c r="I39" i="25" s="1"/>
  <c r="E38" i="25"/>
  <c r="K38" i="25" s="1"/>
  <c r="D38" i="25"/>
  <c r="J38" i="25" s="1"/>
  <c r="C38" i="25"/>
  <c r="I38" i="25" s="1"/>
  <c r="I37" i="25"/>
  <c r="E37" i="25"/>
  <c r="K37" i="25" s="1"/>
  <c r="D37" i="25"/>
  <c r="J37" i="25" s="1"/>
  <c r="C37" i="25"/>
  <c r="I35" i="25"/>
  <c r="C35" i="25"/>
  <c r="E34" i="25"/>
  <c r="K34" i="25" s="1"/>
  <c r="D34" i="25"/>
  <c r="J34" i="25" s="1"/>
  <c r="C34" i="25"/>
  <c r="I34" i="25" s="1"/>
  <c r="E33" i="25"/>
  <c r="K33" i="25" s="1"/>
  <c r="D33" i="25"/>
  <c r="J33" i="25" s="1"/>
  <c r="C33" i="25"/>
  <c r="I33" i="25" s="1"/>
  <c r="J32" i="25"/>
  <c r="I32" i="25"/>
  <c r="E32" i="25"/>
  <c r="K32" i="25" s="1"/>
  <c r="D32" i="25"/>
  <c r="C32" i="25"/>
  <c r="E31" i="25"/>
  <c r="K31" i="25" s="1"/>
  <c r="D31" i="25"/>
  <c r="J31" i="25" s="1"/>
  <c r="C31" i="25"/>
  <c r="I31" i="25" s="1"/>
  <c r="J30" i="25"/>
  <c r="E30" i="25"/>
  <c r="K30" i="25" s="1"/>
  <c r="D30" i="25"/>
  <c r="C30" i="25"/>
  <c r="I30" i="25" s="1"/>
  <c r="K29" i="25"/>
  <c r="E29" i="25"/>
  <c r="D29" i="25"/>
  <c r="J29" i="25" s="1"/>
  <c r="C29" i="25"/>
  <c r="I29" i="25" s="1"/>
  <c r="I28" i="25"/>
  <c r="E28" i="25"/>
  <c r="K28" i="25" s="1"/>
  <c r="D28" i="25"/>
  <c r="J28" i="25" s="1"/>
  <c r="C28" i="25"/>
  <c r="I26" i="25"/>
  <c r="F26" i="25"/>
  <c r="L26" i="25" s="1"/>
  <c r="E26" i="25"/>
  <c r="K26" i="25" s="1"/>
  <c r="D26" i="25"/>
  <c r="J26" i="25" s="1"/>
  <c r="I25" i="25"/>
  <c r="F25" i="25"/>
  <c r="L25" i="25" s="1"/>
  <c r="E25" i="25"/>
  <c r="K25" i="25" s="1"/>
  <c r="D25" i="25"/>
  <c r="J25" i="25" s="1"/>
  <c r="I24" i="25"/>
  <c r="F24" i="25"/>
  <c r="L24" i="25" s="1"/>
  <c r="E24" i="25"/>
  <c r="K24" i="25" s="1"/>
  <c r="D24" i="25"/>
  <c r="J24" i="25" s="1"/>
  <c r="I23" i="25"/>
  <c r="F23" i="25"/>
  <c r="L23" i="25" s="1"/>
  <c r="E23" i="25"/>
  <c r="K23" i="25" s="1"/>
  <c r="D23" i="25"/>
  <c r="J23" i="25" s="1"/>
  <c r="I22" i="25"/>
  <c r="F22" i="25"/>
  <c r="L22" i="25" s="1"/>
  <c r="E22" i="25"/>
  <c r="K22" i="25" s="1"/>
  <c r="D22" i="25"/>
  <c r="J22" i="25" s="1"/>
  <c r="R21" i="25"/>
  <c r="M21" i="25"/>
  <c r="F21" i="25"/>
  <c r="E21" i="25"/>
  <c r="Q21" i="25" s="1"/>
  <c r="K21" i="25" s="1"/>
  <c r="D21" i="25"/>
  <c r="P21" i="25" s="1"/>
  <c r="J21" i="25" s="1"/>
  <c r="P20" i="25"/>
  <c r="M20" i="25"/>
  <c r="J20" i="25"/>
  <c r="F20" i="25"/>
  <c r="L20" i="25" s="1"/>
  <c r="E20" i="25"/>
  <c r="K20" i="25" s="1"/>
  <c r="D20" i="25"/>
  <c r="I18" i="25"/>
  <c r="F18" i="25"/>
  <c r="L18" i="25" s="1"/>
  <c r="E18" i="25"/>
  <c r="K18" i="25" s="1"/>
  <c r="D18" i="25"/>
  <c r="J18" i="25" s="1"/>
  <c r="I17" i="25"/>
  <c r="F17" i="25"/>
  <c r="L17" i="25" s="1"/>
  <c r="E17" i="25"/>
  <c r="K17" i="25" s="1"/>
  <c r="D17" i="25"/>
  <c r="J17" i="25" s="1"/>
  <c r="I16" i="25"/>
  <c r="F16" i="25"/>
  <c r="L16" i="25" s="1"/>
  <c r="E16" i="25"/>
  <c r="K16" i="25" s="1"/>
  <c r="D16" i="25"/>
  <c r="J16" i="25" s="1"/>
  <c r="M15" i="25"/>
  <c r="F15" i="25"/>
  <c r="L15" i="25" s="1"/>
  <c r="E15" i="25"/>
  <c r="K15" i="25" s="1"/>
  <c r="D15" i="25"/>
  <c r="J15" i="25" s="1"/>
  <c r="I14" i="25"/>
  <c r="F14" i="25"/>
  <c r="L14" i="25" s="1"/>
  <c r="E14" i="25"/>
  <c r="K14" i="25" s="1"/>
  <c r="D14" i="25"/>
  <c r="J14" i="25" s="1"/>
  <c r="I12" i="25"/>
  <c r="F12" i="25"/>
  <c r="L12" i="25" s="1"/>
  <c r="E12" i="25"/>
  <c r="K12" i="25" s="1"/>
  <c r="D12" i="25"/>
  <c r="J12" i="25" s="1"/>
  <c r="I11" i="25"/>
  <c r="F11" i="25"/>
  <c r="L11" i="25" s="1"/>
  <c r="E11" i="25"/>
  <c r="K11" i="25" s="1"/>
  <c r="D11" i="25"/>
  <c r="J11" i="25" s="1"/>
  <c r="I10" i="25"/>
  <c r="F10" i="25"/>
  <c r="L10" i="25" s="1"/>
  <c r="E10" i="25"/>
  <c r="K10" i="25" s="1"/>
  <c r="D10" i="25"/>
  <c r="J10" i="25" s="1"/>
  <c r="L9" i="25"/>
  <c r="K9" i="25"/>
  <c r="I9" i="25"/>
  <c r="P64" i="24" l="1"/>
  <c r="J64" i="24"/>
  <c r="R64" i="24" s="1"/>
  <c r="I64" i="24"/>
  <c r="Q64" i="24" s="1"/>
  <c r="H64" i="24"/>
  <c r="J63" i="24"/>
  <c r="R63" i="24" s="1"/>
  <c r="I63" i="24"/>
  <c r="Q63" i="24" s="1"/>
  <c r="H63" i="24"/>
  <c r="P63" i="24" s="1"/>
  <c r="P62" i="24"/>
  <c r="J62" i="24"/>
  <c r="R62" i="24" s="1"/>
  <c r="I62" i="24"/>
  <c r="Q62" i="24" s="1"/>
  <c r="H62" i="24"/>
  <c r="R61" i="24"/>
  <c r="J61" i="24"/>
  <c r="I61" i="24"/>
  <c r="Q61" i="24" s="1"/>
  <c r="H61" i="24"/>
  <c r="P61" i="24" s="1"/>
  <c r="R60" i="24"/>
  <c r="Q60" i="24"/>
  <c r="P60" i="24"/>
  <c r="J58" i="24"/>
  <c r="R58" i="24" s="1"/>
  <c r="I58" i="24"/>
  <c r="Q58" i="24" s="1"/>
  <c r="H58" i="24"/>
  <c r="P58" i="24" s="1"/>
  <c r="Q57" i="24"/>
  <c r="J57" i="24"/>
  <c r="R57" i="24" s="1"/>
  <c r="I57" i="24"/>
  <c r="H57" i="24"/>
  <c r="P57" i="24" s="1"/>
  <c r="J56" i="24"/>
  <c r="R56" i="24" s="1"/>
  <c r="I56" i="24"/>
  <c r="Q56" i="24" s="1"/>
  <c r="H56" i="24"/>
  <c r="P56" i="24" s="1"/>
  <c r="Q55" i="24"/>
  <c r="P55" i="24"/>
  <c r="J55" i="24"/>
  <c r="R55" i="24" s="1"/>
  <c r="I55" i="24"/>
  <c r="H55" i="24"/>
  <c r="J53" i="24"/>
  <c r="R53" i="24" s="1"/>
  <c r="I53" i="24"/>
  <c r="Q53" i="24" s="1"/>
  <c r="H53" i="24"/>
  <c r="P53" i="24" s="1"/>
  <c r="J50" i="24"/>
  <c r="R50" i="24" s="1"/>
  <c r="I50" i="24"/>
  <c r="Q50" i="24" s="1"/>
  <c r="H50" i="24"/>
  <c r="P50" i="24" s="1"/>
  <c r="J49" i="24"/>
  <c r="R49" i="24" s="1"/>
  <c r="I49" i="24"/>
  <c r="Q49" i="24" s="1"/>
  <c r="H49" i="24"/>
  <c r="P49" i="24" s="1"/>
  <c r="J48" i="24"/>
  <c r="R48" i="24" s="1"/>
  <c r="I48" i="24"/>
  <c r="Q48" i="24" s="1"/>
  <c r="H48" i="24"/>
  <c r="P48" i="24" s="1"/>
  <c r="R46" i="24"/>
  <c r="I46" i="24"/>
  <c r="Q46" i="24" s="1"/>
  <c r="H46" i="24"/>
  <c r="P46" i="24" s="1"/>
  <c r="P45" i="24"/>
  <c r="J45" i="24"/>
  <c r="R45" i="24" s="1"/>
  <c r="I45" i="24"/>
  <c r="Q45" i="24" s="1"/>
  <c r="H45" i="24"/>
  <c r="J44" i="24"/>
  <c r="R44" i="24" s="1"/>
  <c r="I44" i="24"/>
  <c r="Q44" i="24" s="1"/>
  <c r="H44" i="24"/>
  <c r="P44" i="24" s="1"/>
  <c r="P43" i="24"/>
  <c r="J43" i="24"/>
  <c r="R43" i="24" s="1"/>
  <c r="I43" i="24"/>
  <c r="Q43" i="24" s="1"/>
  <c r="H43" i="24"/>
  <c r="J41" i="24"/>
  <c r="R41" i="24" s="1"/>
  <c r="I41" i="24"/>
  <c r="Q41" i="24" s="1"/>
  <c r="H41" i="24"/>
  <c r="P41" i="24" s="1"/>
  <c r="J40" i="24"/>
  <c r="R40" i="24" s="1"/>
  <c r="I40" i="24"/>
  <c r="Q40" i="24" s="1"/>
  <c r="H40" i="24"/>
  <c r="P40" i="24" s="1"/>
  <c r="R39" i="24"/>
  <c r="Q39" i="24"/>
  <c r="J39" i="24"/>
  <c r="I39" i="24"/>
  <c r="H39" i="24"/>
  <c r="P39" i="24" s="1"/>
  <c r="J37" i="24"/>
  <c r="R37" i="24" s="1"/>
  <c r="I37" i="24"/>
  <c r="Q37" i="24" s="1"/>
  <c r="H37" i="24"/>
  <c r="P37" i="24" s="1"/>
  <c r="J36" i="24"/>
  <c r="R36" i="24" s="1"/>
  <c r="I36" i="24"/>
  <c r="Q36" i="24" s="1"/>
  <c r="H36" i="24"/>
  <c r="P36" i="24" s="1"/>
  <c r="P35" i="24"/>
  <c r="J35" i="24"/>
  <c r="R35" i="24" s="1"/>
  <c r="I35" i="24"/>
  <c r="Q35" i="24" s="1"/>
  <c r="H35" i="24"/>
  <c r="J34" i="24"/>
  <c r="R34" i="24" s="1"/>
  <c r="I34" i="24"/>
  <c r="Q34" i="24" s="1"/>
  <c r="H34" i="24"/>
  <c r="P34" i="24" s="1"/>
  <c r="P33" i="24"/>
  <c r="J33" i="24"/>
  <c r="R33" i="24" s="1"/>
  <c r="I33" i="24"/>
  <c r="Q33" i="24" s="1"/>
  <c r="H33" i="24"/>
  <c r="M32" i="24"/>
  <c r="L32" i="24"/>
  <c r="I32" i="24"/>
  <c r="Q32" i="24" s="1"/>
  <c r="H32" i="24"/>
  <c r="P32" i="24" s="1"/>
  <c r="Q30" i="24"/>
  <c r="J30" i="24"/>
  <c r="R30" i="24" s="1"/>
  <c r="I30" i="24"/>
  <c r="H30" i="24"/>
  <c r="P30" i="24" s="1"/>
  <c r="J29" i="24"/>
  <c r="R29" i="24" s="1"/>
  <c r="I29" i="24"/>
  <c r="Q29" i="24" s="1"/>
  <c r="H29" i="24"/>
  <c r="P29" i="24" s="1"/>
  <c r="J28" i="24"/>
  <c r="R28" i="24" s="1"/>
  <c r="I28" i="24"/>
  <c r="Q28" i="24" s="1"/>
  <c r="H28" i="24"/>
  <c r="P28" i="24" s="1"/>
  <c r="P27" i="24"/>
  <c r="J27" i="24"/>
  <c r="R27" i="24" s="1"/>
  <c r="I27" i="24"/>
  <c r="Q27" i="24" s="1"/>
  <c r="H27" i="24"/>
  <c r="J25" i="24"/>
  <c r="R25" i="24" s="1"/>
  <c r="I25" i="24"/>
  <c r="Q25" i="24" s="1"/>
  <c r="H25" i="24"/>
  <c r="P25" i="24" s="1"/>
  <c r="J23" i="24"/>
  <c r="R23" i="24" s="1"/>
  <c r="I23" i="24"/>
  <c r="Q23" i="24" s="1"/>
  <c r="H23" i="24"/>
  <c r="P23" i="24" s="1"/>
  <c r="R22" i="24"/>
  <c r="Q22" i="24"/>
  <c r="J22" i="24"/>
  <c r="I22" i="24"/>
  <c r="H22" i="24"/>
  <c r="P22" i="24" s="1"/>
  <c r="J21" i="24"/>
  <c r="R21" i="24" s="1"/>
  <c r="I21" i="24"/>
  <c r="Q21" i="24" s="1"/>
  <c r="H21" i="24"/>
  <c r="P21" i="24" s="1"/>
  <c r="Q19" i="24"/>
  <c r="J19" i="24"/>
  <c r="R19" i="24" s="1"/>
  <c r="I19" i="24"/>
  <c r="H19" i="24"/>
  <c r="P19" i="24" s="1"/>
  <c r="J18" i="24"/>
  <c r="R18" i="24" s="1"/>
  <c r="I18" i="24"/>
  <c r="Q18" i="24" s="1"/>
  <c r="H18" i="24"/>
  <c r="P18" i="24" s="1"/>
  <c r="J17" i="24"/>
  <c r="R17" i="24" s="1"/>
  <c r="I17" i="24"/>
  <c r="Q17" i="24" s="1"/>
  <c r="H17" i="24"/>
  <c r="P17" i="24" s="1"/>
  <c r="P16" i="24"/>
  <c r="J16" i="24"/>
  <c r="R16" i="24" s="1"/>
  <c r="I16" i="24"/>
  <c r="Q16" i="24" s="1"/>
  <c r="H16" i="24"/>
  <c r="J14" i="24"/>
  <c r="R14" i="24" s="1"/>
  <c r="I14" i="24"/>
  <c r="Q14" i="24" s="1"/>
  <c r="H14" i="24"/>
  <c r="P14" i="24" s="1"/>
  <c r="M13" i="24"/>
  <c r="L13" i="24"/>
  <c r="H13" i="24"/>
  <c r="J13" i="24" s="1"/>
  <c r="R13" i="24" s="1"/>
  <c r="P12" i="24"/>
  <c r="J12" i="24"/>
  <c r="R12" i="24" s="1"/>
  <c r="I12" i="24"/>
  <c r="Q12" i="24" s="1"/>
  <c r="H12" i="24"/>
  <c r="J10" i="24"/>
  <c r="R10" i="24" s="1"/>
  <c r="I10" i="24"/>
  <c r="Q10" i="24" s="1"/>
  <c r="H10" i="24"/>
  <c r="P10" i="24" s="1"/>
  <c r="J9" i="24"/>
  <c r="R9" i="24" s="1"/>
  <c r="I9" i="24"/>
  <c r="Q9" i="24" s="1"/>
  <c r="H9" i="24"/>
  <c r="P9" i="24" s="1"/>
  <c r="R8" i="24"/>
  <c r="Q8" i="24"/>
  <c r="J8" i="24"/>
  <c r="I8" i="24"/>
  <c r="H8" i="24"/>
  <c r="P8" i="24" s="1"/>
  <c r="J32" i="24" l="1"/>
  <c r="R32" i="24" s="1"/>
  <c r="I13" i="24"/>
  <c r="Q13" i="24" s="1"/>
  <c r="P13" i="24"/>
  <c r="I26" i="21" l="1"/>
  <c r="H26" i="21"/>
  <c r="H25" i="21"/>
  <c r="I24" i="21"/>
  <c r="H24" i="21"/>
  <c r="H23" i="21"/>
  <c r="G23" i="21"/>
  <c r="I22" i="21"/>
  <c r="H22" i="21"/>
  <c r="G22" i="21"/>
  <c r="I21" i="21"/>
  <c r="H21" i="21"/>
  <c r="G21" i="21"/>
  <c r="I20" i="21"/>
  <c r="H20" i="21"/>
  <c r="G20" i="21"/>
  <c r="H19" i="21"/>
  <c r="G19" i="21"/>
  <c r="I18" i="21"/>
  <c r="G18" i="21"/>
  <c r="I17" i="21"/>
  <c r="H17" i="21"/>
  <c r="G17" i="21"/>
  <c r="I16" i="21"/>
  <c r="G16" i="21"/>
  <c r="I15" i="21"/>
  <c r="G15" i="21"/>
  <c r="I14" i="21"/>
  <c r="G14" i="21"/>
  <c r="H13" i="21"/>
  <c r="G13" i="21"/>
  <c r="K12" i="21"/>
  <c r="J12" i="21"/>
  <c r="I12" i="21"/>
  <c r="H12" i="21"/>
  <c r="G12" i="21"/>
  <c r="K11" i="21"/>
  <c r="J11" i="21"/>
  <c r="I11" i="21"/>
  <c r="H11" i="21"/>
  <c r="G11" i="21"/>
  <c r="K10" i="21"/>
  <c r="J10" i="21"/>
  <c r="I10" i="21"/>
  <c r="H10" i="21"/>
  <c r="G10" i="21"/>
  <c r="H9" i="21"/>
  <c r="G9" i="21"/>
  <c r="I8" i="21"/>
  <c r="H8" i="21"/>
  <c r="K7" i="21"/>
  <c r="J7" i="21"/>
  <c r="I7" i="21"/>
  <c r="H7" i="21"/>
  <c r="K6" i="21"/>
  <c r="J6" i="21"/>
  <c r="I6" i="21"/>
  <c r="H5" i="21"/>
  <c r="K94" i="20"/>
  <c r="J94" i="20"/>
  <c r="I94" i="20"/>
  <c r="K93" i="20"/>
  <c r="J93" i="20"/>
  <c r="I93" i="20"/>
  <c r="K92" i="20"/>
  <c r="J92" i="20"/>
  <c r="I92" i="20"/>
  <c r="K91" i="20"/>
  <c r="J91" i="20"/>
  <c r="I91" i="20"/>
  <c r="K90" i="20"/>
  <c r="J90" i="20"/>
  <c r="I90" i="20"/>
  <c r="K88" i="20"/>
  <c r="J88" i="20"/>
  <c r="I88" i="20"/>
  <c r="K87" i="20"/>
  <c r="J87" i="20"/>
  <c r="I87" i="20"/>
  <c r="K86" i="20"/>
  <c r="J86" i="20"/>
  <c r="I86" i="20"/>
  <c r="K85" i="20"/>
  <c r="J85" i="20"/>
  <c r="I85" i="20"/>
  <c r="K84" i="20"/>
  <c r="J84" i="20"/>
  <c r="I84" i="20"/>
  <c r="K82" i="20"/>
  <c r="J82" i="20"/>
  <c r="I82" i="20"/>
  <c r="K81" i="20"/>
  <c r="J81" i="20"/>
  <c r="I81" i="20"/>
  <c r="K80" i="20"/>
  <c r="J80" i="20"/>
  <c r="I80" i="20"/>
  <c r="K79" i="20"/>
  <c r="J79" i="20"/>
  <c r="I79" i="20"/>
  <c r="K73" i="20"/>
  <c r="J73" i="20"/>
  <c r="I73" i="20"/>
  <c r="K72" i="20"/>
  <c r="J72" i="20"/>
  <c r="I72" i="20"/>
  <c r="K71" i="20"/>
  <c r="J71" i="20"/>
  <c r="I71" i="20"/>
  <c r="K70" i="20"/>
  <c r="J70" i="20"/>
  <c r="I70" i="20"/>
  <c r="K68" i="20"/>
  <c r="J68" i="20"/>
  <c r="I68" i="20"/>
  <c r="K67" i="20"/>
  <c r="J67" i="20"/>
  <c r="I67" i="20"/>
  <c r="K66" i="20"/>
  <c r="J66" i="20"/>
  <c r="I66" i="20"/>
  <c r="K65" i="20"/>
  <c r="J65" i="20"/>
  <c r="I65" i="20"/>
  <c r="K63" i="20"/>
  <c r="J63" i="20"/>
  <c r="I63" i="20"/>
  <c r="K62" i="20"/>
  <c r="J62" i="20"/>
  <c r="I62" i="20"/>
  <c r="K59" i="20"/>
  <c r="J59" i="20"/>
  <c r="I59" i="20"/>
  <c r="K57" i="20"/>
  <c r="J57" i="20"/>
  <c r="I57" i="20"/>
  <c r="K56" i="20"/>
  <c r="J56" i="20"/>
  <c r="I56" i="20"/>
  <c r="K55" i="20"/>
  <c r="J55" i="20"/>
  <c r="I55" i="20"/>
  <c r="K54" i="20"/>
  <c r="J54" i="20"/>
  <c r="I54" i="20"/>
  <c r="K53" i="20"/>
  <c r="J53" i="20"/>
  <c r="I53" i="20"/>
  <c r="K51" i="20"/>
  <c r="J51" i="20"/>
  <c r="I51" i="20"/>
  <c r="K50" i="20"/>
  <c r="J50" i="20"/>
  <c r="I50" i="20"/>
  <c r="K49" i="20"/>
  <c r="J49" i="20"/>
  <c r="I49" i="20"/>
  <c r="K48" i="20"/>
  <c r="J48" i="20"/>
  <c r="I48" i="20"/>
  <c r="K47" i="20"/>
  <c r="J47" i="20"/>
  <c r="I47" i="20"/>
  <c r="K45" i="20"/>
  <c r="J45" i="20"/>
  <c r="I45" i="20"/>
  <c r="K44" i="20"/>
  <c r="J44" i="20"/>
  <c r="I44" i="20"/>
  <c r="K43" i="20"/>
  <c r="J43" i="20"/>
  <c r="I43" i="20"/>
  <c r="K42" i="20"/>
  <c r="J42" i="20"/>
  <c r="I42" i="20"/>
  <c r="K40" i="20"/>
  <c r="J40" i="20"/>
  <c r="I40" i="20"/>
  <c r="K39" i="20"/>
  <c r="J39" i="20"/>
  <c r="I39" i="20"/>
  <c r="I38" i="20"/>
  <c r="I37" i="20"/>
  <c r="I36" i="20"/>
  <c r="I35" i="20"/>
  <c r="K33" i="20"/>
  <c r="J33" i="20"/>
  <c r="I33" i="20"/>
  <c r="K32" i="20"/>
  <c r="J32" i="20"/>
  <c r="I32" i="20"/>
  <c r="K30" i="20"/>
  <c r="J30" i="20"/>
  <c r="I30" i="20"/>
  <c r="K27" i="20"/>
  <c r="J27" i="20"/>
  <c r="I27" i="20"/>
  <c r="K26" i="20"/>
  <c r="J26" i="20"/>
  <c r="I26" i="20"/>
  <c r="K25" i="20"/>
  <c r="J25" i="20"/>
  <c r="I25" i="20"/>
  <c r="K24" i="20"/>
  <c r="J24" i="20"/>
  <c r="I24" i="20"/>
  <c r="K22" i="20"/>
  <c r="J22" i="20"/>
  <c r="I22" i="20"/>
  <c r="K21" i="20"/>
  <c r="J21" i="20"/>
  <c r="I21" i="20"/>
  <c r="K20" i="20"/>
  <c r="J20" i="20"/>
  <c r="I20" i="20"/>
  <c r="K19" i="20"/>
  <c r="J19" i="20"/>
  <c r="I19" i="20"/>
  <c r="K18" i="20"/>
  <c r="J18" i="20"/>
  <c r="I18" i="20"/>
  <c r="K17" i="20"/>
  <c r="J17" i="20"/>
  <c r="I17" i="20"/>
  <c r="K16" i="20"/>
  <c r="J16" i="20"/>
  <c r="I16" i="20"/>
  <c r="K15" i="20"/>
  <c r="J15" i="20"/>
  <c r="I15" i="20"/>
  <c r="K13" i="20"/>
  <c r="J13" i="20"/>
  <c r="I13" i="20"/>
  <c r="K12" i="20"/>
  <c r="J12" i="20"/>
  <c r="I12" i="20"/>
  <c r="K11" i="20"/>
  <c r="J11" i="20"/>
  <c r="I11" i="20"/>
  <c r="K10" i="20"/>
  <c r="J10" i="20"/>
  <c r="I10" i="20"/>
  <c r="K9" i="20"/>
  <c r="J9" i="20"/>
  <c r="I9" i="20"/>
  <c r="K8" i="20"/>
  <c r="J8" i="20"/>
  <c r="I8" i="20"/>
  <c r="K7" i="20"/>
  <c r="J7" i="20"/>
  <c r="I7" i="20"/>
  <c r="K6" i="20"/>
  <c r="J6" i="20"/>
  <c r="I6" i="20"/>
  <c r="J92" i="19" l="1"/>
  <c r="M92" i="19" s="1"/>
  <c r="I92" i="19"/>
  <c r="L92" i="19" s="1"/>
  <c r="H92" i="19"/>
  <c r="K92" i="19" s="1"/>
  <c r="M90" i="19"/>
  <c r="L90" i="19"/>
  <c r="K90" i="19"/>
  <c r="M89" i="19"/>
  <c r="L89" i="19"/>
  <c r="K89" i="19"/>
  <c r="L88" i="19"/>
  <c r="J88" i="19"/>
  <c r="M88" i="19" s="1"/>
  <c r="I88" i="19"/>
  <c r="H88" i="19"/>
  <c r="K88" i="19" s="1"/>
  <c r="L86" i="19"/>
  <c r="J86" i="19"/>
  <c r="M86" i="19" s="1"/>
  <c r="I86" i="19"/>
  <c r="H86" i="19"/>
  <c r="K86" i="19" s="1"/>
  <c r="L85" i="19"/>
  <c r="J85" i="19"/>
  <c r="M85" i="19" s="1"/>
  <c r="I85" i="19"/>
  <c r="H85" i="19"/>
  <c r="K85" i="19" s="1"/>
  <c r="L84" i="19"/>
  <c r="J84" i="19"/>
  <c r="M84" i="19" s="1"/>
  <c r="I84" i="19"/>
  <c r="H84" i="19"/>
  <c r="K84" i="19" s="1"/>
  <c r="L82" i="19"/>
  <c r="J82" i="19"/>
  <c r="M82" i="19" s="1"/>
  <c r="I82" i="19"/>
  <c r="H82" i="19"/>
  <c r="K82" i="19" s="1"/>
  <c r="L81" i="19"/>
  <c r="J81" i="19"/>
  <c r="M81" i="19" s="1"/>
  <c r="I81" i="19"/>
  <c r="H81" i="19"/>
  <c r="K81" i="19" s="1"/>
  <c r="L80" i="19"/>
  <c r="J80" i="19"/>
  <c r="M80" i="19" s="1"/>
  <c r="I80" i="19"/>
  <c r="H80" i="19"/>
  <c r="K80" i="19" s="1"/>
  <c r="L79" i="19"/>
  <c r="J79" i="19"/>
  <c r="M79" i="19" s="1"/>
  <c r="I79" i="19"/>
  <c r="H79" i="19"/>
  <c r="K79" i="19" s="1"/>
  <c r="L77" i="19"/>
  <c r="J77" i="19"/>
  <c r="M77" i="19" s="1"/>
  <c r="I77" i="19"/>
  <c r="H77" i="19"/>
  <c r="K77" i="19" s="1"/>
  <c r="L76" i="19"/>
  <c r="J76" i="19"/>
  <c r="M76" i="19" s="1"/>
  <c r="I76" i="19"/>
  <c r="H76" i="19"/>
  <c r="K76" i="19" s="1"/>
  <c r="L75" i="19"/>
  <c r="J75" i="19"/>
  <c r="M75" i="19" s="1"/>
  <c r="I75" i="19"/>
  <c r="H75" i="19"/>
  <c r="K75" i="19" s="1"/>
  <c r="L74" i="19"/>
  <c r="J74" i="19"/>
  <c r="M74" i="19" s="1"/>
  <c r="I74" i="19"/>
  <c r="H74" i="19"/>
  <c r="K74" i="19" s="1"/>
  <c r="L73" i="19"/>
  <c r="J73" i="19"/>
  <c r="M73" i="19" s="1"/>
  <c r="I73" i="19"/>
  <c r="H73" i="19"/>
  <c r="K73" i="19" s="1"/>
  <c r="L71" i="19"/>
  <c r="J71" i="19"/>
  <c r="M71" i="19" s="1"/>
  <c r="I71" i="19"/>
  <c r="H71" i="19"/>
  <c r="K71" i="19" s="1"/>
  <c r="L70" i="19"/>
  <c r="J70" i="19"/>
  <c r="M70" i="19" s="1"/>
  <c r="I70" i="19"/>
  <c r="H70" i="19"/>
  <c r="K70" i="19" s="1"/>
  <c r="L69" i="19"/>
  <c r="J69" i="19"/>
  <c r="M69" i="19" s="1"/>
  <c r="I69" i="19"/>
  <c r="H69" i="19"/>
  <c r="K69" i="19" s="1"/>
  <c r="L66" i="19"/>
  <c r="J66" i="19"/>
  <c r="M66" i="19" s="1"/>
  <c r="I66" i="19"/>
  <c r="H66" i="19"/>
  <c r="K66" i="19" s="1"/>
  <c r="L65" i="19"/>
  <c r="J65" i="19"/>
  <c r="M65" i="19" s="1"/>
  <c r="I65" i="19"/>
  <c r="H65" i="19"/>
  <c r="K65" i="19" s="1"/>
  <c r="L64" i="19"/>
  <c r="J64" i="19"/>
  <c r="M64" i="19" s="1"/>
  <c r="I64" i="19"/>
  <c r="H64" i="19"/>
  <c r="K64" i="19" s="1"/>
  <c r="L62" i="19"/>
  <c r="J62" i="19"/>
  <c r="M62" i="19" s="1"/>
  <c r="I62" i="19"/>
  <c r="H62" i="19"/>
  <c r="K62" i="19" s="1"/>
  <c r="L61" i="19"/>
  <c r="J61" i="19"/>
  <c r="M61" i="19" s="1"/>
  <c r="I61" i="19"/>
  <c r="H61" i="19"/>
  <c r="K61" i="19" s="1"/>
  <c r="L59" i="19"/>
  <c r="J59" i="19"/>
  <c r="M59" i="19" s="1"/>
  <c r="I59" i="19"/>
  <c r="H59" i="19"/>
  <c r="K59" i="19" s="1"/>
  <c r="L57" i="19"/>
  <c r="J57" i="19"/>
  <c r="M57" i="19" s="1"/>
  <c r="I57" i="19"/>
  <c r="H57" i="19"/>
  <c r="K57" i="19" s="1"/>
  <c r="L53" i="19"/>
  <c r="J53" i="19"/>
  <c r="M53" i="19" s="1"/>
  <c r="I53" i="19"/>
  <c r="H53" i="19"/>
  <c r="K53" i="19" s="1"/>
  <c r="L52" i="19"/>
  <c r="J52" i="19"/>
  <c r="M52" i="19" s="1"/>
  <c r="I52" i="19"/>
  <c r="H52" i="19"/>
  <c r="K52" i="19" s="1"/>
  <c r="L51" i="19"/>
  <c r="J51" i="19"/>
  <c r="M51" i="19" s="1"/>
  <c r="I51" i="19"/>
  <c r="H51" i="19"/>
  <c r="K51" i="19" s="1"/>
  <c r="L49" i="19"/>
  <c r="J49" i="19"/>
  <c r="M49" i="19" s="1"/>
  <c r="I49" i="19"/>
  <c r="H49" i="19"/>
  <c r="K49" i="19" s="1"/>
  <c r="L48" i="19"/>
  <c r="J48" i="19"/>
  <c r="M48" i="19" s="1"/>
  <c r="I48" i="19"/>
  <c r="H48" i="19"/>
  <c r="K48" i="19" s="1"/>
  <c r="L47" i="19"/>
  <c r="J47" i="19"/>
  <c r="M47" i="19" s="1"/>
  <c r="I47" i="19"/>
  <c r="H47" i="19"/>
  <c r="K47" i="19" s="1"/>
  <c r="L46" i="19"/>
  <c r="J46" i="19"/>
  <c r="M46" i="19" s="1"/>
  <c r="I46" i="19"/>
  <c r="H46" i="19"/>
  <c r="K46" i="19" s="1"/>
  <c r="L45" i="19"/>
  <c r="J45" i="19"/>
  <c r="M45" i="19" s="1"/>
  <c r="I45" i="19"/>
  <c r="H45" i="19"/>
  <c r="K45" i="19" s="1"/>
  <c r="L43" i="19"/>
  <c r="J43" i="19"/>
  <c r="M43" i="19" s="1"/>
  <c r="I43" i="19"/>
  <c r="H43" i="19"/>
  <c r="K43" i="19" s="1"/>
  <c r="L41" i="19"/>
  <c r="J41" i="19"/>
  <c r="M41" i="19" s="1"/>
  <c r="I41" i="19"/>
  <c r="H41" i="19"/>
  <c r="K41" i="19" s="1"/>
  <c r="L40" i="19"/>
  <c r="J40" i="19"/>
  <c r="M40" i="19" s="1"/>
  <c r="I40" i="19"/>
  <c r="H40" i="19"/>
  <c r="K40" i="19" s="1"/>
  <c r="L39" i="19"/>
  <c r="J39" i="19"/>
  <c r="M39" i="19" s="1"/>
  <c r="I39" i="19"/>
  <c r="H39" i="19"/>
  <c r="K39" i="19" s="1"/>
  <c r="L38" i="19"/>
  <c r="J38" i="19"/>
  <c r="M38" i="19" s="1"/>
  <c r="I38" i="19"/>
  <c r="H38" i="19"/>
  <c r="K38" i="19" s="1"/>
  <c r="L37" i="19"/>
  <c r="J37" i="19"/>
  <c r="M37" i="19" s="1"/>
  <c r="I37" i="19"/>
  <c r="H37" i="19"/>
  <c r="K37" i="19" s="1"/>
  <c r="L35" i="19"/>
  <c r="J35" i="19"/>
  <c r="M35" i="19" s="1"/>
  <c r="I35" i="19"/>
  <c r="H35" i="19"/>
  <c r="K35" i="19" s="1"/>
  <c r="L34" i="19"/>
  <c r="J34" i="19"/>
  <c r="M34" i="19" s="1"/>
  <c r="I34" i="19"/>
  <c r="H34" i="19"/>
  <c r="K34" i="19" s="1"/>
  <c r="L33" i="19"/>
  <c r="J33" i="19"/>
  <c r="M33" i="19" s="1"/>
  <c r="I33" i="19"/>
  <c r="H33" i="19"/>
  <c r="K33" i="19" s="1"/>
  <c r="H32" i="19"/>
  <c r="K32" i="19" s="1"/>
  <c r="H31" i="19"/>
  <c r="K31" i="19" s="1"/>
  <c r="H30" i="19"/>
  <c r="K30" i="19" s="1"/>
  <c r="H29" i="19"/>
  <c r="K29" i="19" s="1"/>
  <c r="H27" i="19"/>
  <c r="K27" i="19" s="1"/>
  <c r="H26" i="19"/>
  <c r="K26" i="19" s="1"/>
  <c r="H25" i="19"/>
  <c r="K25" i="19" s="1"/>
  <c r="H24" i="19"/>
  <c r="K24" i="19" s="1"/>
  <c r="K23" i="19"/>
  <c r="K21" i="19"/>
  <c r="K20" i="19"/>
  <c r="K19" i="19"/>
  <c r="K17" i="19"/>
  <c r="K16" i="19"/>
  <c r="K15" i="19"/>
  <c r="K10" i="19"/>
  <c r="K9" i="19"/>
  <c r="H8" i="19"/>
  <c r="K8" i="19" s="1"/>
  <c r="H7" i="19"/>
  <c r="K7" i="19" s="1"/>
  <c r="H6" i="19"/>
  <c r="K6" i="19" s="1"/>
  <c r="W291" i="17" l="1"/>
  <c r="W290" i="17"/>
  <c r="W289" i="17"/>
  <c r="W288" i="17"/>
  <c r="W287" i="17"/>
  <c r="W286" i="17"/>
  <c r="W285" i="17"/>
  <c r="W284" i="17"/>
  <c r="W283" i="17"/>
  <c r="W282" i="17"/>
  <c r="W281" i="17"/>
  <c r="W280" i="17"/>
  <c r="W279" i="17"/>
  <c r="W278" i="17"/>
  <c r="W277" i="17"/>
  <c r="W276" i="17"/>
  <c r="W275" i="17"/>
  <c r="W274" i="17"/>
  <c r="W273" i="17"/>
  <c r="W272" i="17"/>
  <c r="W271" i="17"/>
  <c r="W270" i="17"/>
  <c r="W269" i="17"/>
  <c r="W268" i="17"/>
  <c r="W267" i="17"/>
  <c r="W266" i="17"/>
  <c r="W265" i="17"/>
  <c r="W264" i="17"/>
  <c r="W263" i="17"/>
  <c r="W262" i="17"/>
  <c r="W261" i="17"/>
  <c r="W260" i="17"/>
  <c r="W259" i="17"/>
  <c r="H258" i="17"/>
  <c r="K258" i="17" s="1"/>
  <c r="J257" i="17"/>
  <c r="M257" i="17" s="1"/>
  <c r="I257" i="17"/>
  <c r="L257" i="17" s="1"/>
  <c r="H257" i="17"/>
  <c r="K257" i="17" s="1"/>
  <c r="W256" i="17"/>
  <c r="P256" i="17"/>
  <c r="K256" i="17"/>
  <c r="J256" i="17"/>
  <c r="M256" i="17" s="1"/>
  <c r="I256" i="17"/>
  <c r="L256" i="17" s="1"/>
  <c r="W255" i="17"/>
  <c r="P255" i="17"/>
  <c r="K255" i="17"/>
  <c r="J255" i="17"/>
  <c r="M255" i="17" s="1"/>
  <c r="I255" i="17"/>
  <c r="L255" i="17" s="1"/>
  <c r="W254" i="17"/>
  <c r="P254" i="17"/>
  <c r="K254" i="17"/>
  <c r="J254" i="17"/>
  <c r="M254" i="17" s="1"/>
  <c r="I254" i="17"/>
  <c r="L254" i="17" s="1"/>
  <c r="W253" i="17"/>
  <c r="P253" i="17"/>
  <c r="K253" i="17"/>
  <c r="J253" i="17"/>
  <c r="M253" i="17" s="1"/>
  <c r="I253" i="17"/>
  <c r="L253" i="17" s="1"/>
  <c r="W252" i="17"/>
  <c r="H251" i="17"/>
  <c r="W251" i="17" s="1"/>
  <c r="J250" i="17"/>
  <c r="M250" i="17" s="1"/>
  <c r="I250" i="17"/>
  <c r="L250" i="17" s="1"/>
  <c r="H250" i="17"/>
  <c r="K250" i="17" s="1"/>
  <c r="W249" i="17"/>
  <c r="K249" i="17"/>
  <c r="J249" i="17"/>
  <c r="M249" i="17" s="1"/>
  <c r="I249" i="17"/>
  <c r="L249" i="17" s="1"/>
  <c r="J248" i="17"/>
  <c r="M248" i="17" s="1"/>
  <c r="I248" i="17"/>
  <c r="L248" i="17" s="1"/>
  <c r="H248" i="17"/>
  <c r="W248" i="17" s="1"/>
  <c r="W247" i="17"/>
  <c r="R247" i="17"/>
  <c r="Q247" i="17"/>
  <c r="P247" i="17"/>
  <c r="K247" i="17"/>
  <c r="J247" i="17"/>
  <c r="M247" i="17" s="1"/>
  <c r="I247" i="17"/>
  <c r="L247" i="17" s="1"/>
  <c r="W246" i="17"/>
  <c r="H245" i="17"/>
  <c r="K245" i="17" s="1"/>
  <c r="J244" i="17"/>
  <c r="M244" i="17" s="1"/>
  <c r="I244" i="17"/>
  <c r="L244" i="17" s="1"/>
  <c r="H244" i="17"/>
  <c r="W244" i="17" s="1"/>
  <c r="W243" i="17"/>
  <c r="K243" i="17"/>
  <c r="J243" i="17"/>
  <c r="M243" i="17" s="1"/>
  <c r="I243" i="17"/>
  <c r="L243" i="17" s="1"/>
  <c r="W242" i="17"/>
  <c r="P242" i="17"/>
  <c r="K242" i="17"/>
  <c r="J242" i="17"/>
  <c r="M242" i="17" s="1"/>
  <c r="I242" i="17"/>
  <c r="L242" i="17" s="1"/>
  <c r="W241" i="17"/>
  <c r="P241" i="17"/>
  <c r="K241" i="17"/>
  <c r="J241" i="17"/>
  <c r="M241" i="17" s="1"/>
  <c r="I241" i="17"/>
  <c r="L241" i="17" s="1"/>
  <c r="W240" i="17"/>
  <c r="P240" i="17"/>
  <c r="K240" i="17"/>
  <c r="J240" i="17"/>
  <c r="M240" i="17" s="1"/>
  <c r="I240" i="17"/>
  <c r="L240" i="17" s="1"/>
  <c r="W239" i="17"/>
  <c r="O239" i="17"/>
  <c r="K239" i="17"/>
  <c r="J239" i="17"/>
  <c r="M239" i="17" s="1"/>
  <c r="I239" i="17"/>
  <c r="L239" i="17" s="1"/>
  <c r="J238" i="17"/>
  <c r="M238" i="17" s="1"/>
  <c r="I238" i="17"/>
  <c r="L238" i="17" s="1"/>
  <c r="H238" i="17"/>
  <c r="P238" i="17" s="1"/>
  <c r="W237" i="17"/>
  <c r="H236" i="17"/>
  <c r="W236" i="17" s="1"/>
  <c r="J235" i="17"/>
  <c r="M235" i="17" s="1"/>
  <c r="I235" i="17"/>
  <c r="L235" i="17" s="1"/>
  <c r="H235" i="17"/>
  <c r="K235" i="17" s="1"/>
  <c r="W234" i="17"/>
  <c r="K234" i="17"/>
  <c r="J234" i="17"/>
  <c r="M234" i="17" s="1"/>
  <c r="I234" i="17"/>
  <c r="L234" i="17" s="1"/>
  <c r="J233" i="17"/>
  <c r="M233" i="17" s="1"/>
  <c r="I233" i="17"/>
  <c r="L233" i="17" s="1"/>
  <c r="H233" i="17"/>
  <c r="W232" i="17"/>
  <c r="O232" i="17"/>
  <c r="K232" i="17"/>
  <c r="J232" i="17"/>
  <c r="M232" i="17" s="1"/>
  <c r="I232" i="17"/>
  <c r="L232" i="17" s="1"/>
  <c r="W231" i="17"/>
  <c r="O231" i="17"/>
  <c r="M231" i="17"/>
  <c r="K231" i="17"/>
  <c r="J231" i="17"/>
  <c r="I231" i="17"/>
  <c r="L231" i="17" s="1"/>
  <c r="W230" i="17"/>
  <c r="K230" i="17"/>
  <c r="J230" i="17"/>
  <c r="M230" i="17" s="1"/>
  <c r="I230" i="17"/>
  <c r="L230" i="17" s="1"/>
  <c r="W229" i="17"/>
  <c r="H228" i="17"/>
  <c r="W228" i="17" s="1"/>
  <c r="J227" i="17"/>
  <c r="M227" i="17" s="1"/>
  <c r="I227" i="17"/>
  <c r="L227" i="17" s="1"/>
  <c r="H227" i="17"/>
  <c r="W227" i="17" s="1"/>
  <c r="W226" i="17"/>
  <c r="P226" i="17"/>
  <c r="K226" i="17"/>
  <c r="J226" i="17"/>
  <c r="M226" i="17" s="1"/>
  <c r="I226" i="17"/>
  <c r="L226" i="17" s="1"/>
  <c r="W225" i="17"/>
  <c r="O225" i="17"/>
  <c r="K225" i="17"/>
  <c r="J225" i="17"/>
  <c r="M225" i="17" s="1"/>
  <c r="I225" i="17"/>
  <c r="L225" i="17" s="1"/>
  <c r="W224" i="17"/>
  <c r="P224" i="17"/>
  <c r="K224" i="17"/>
  <c r="J224" i="17"/>
  <c r="M224" i="17" s="1"/>
  <c r="I224" i="17"/>
  <c r="L224" i="17" s="1"/>
  <c r="W223" i="17"/>
  <c r="H222" i="17"/>
  <c r="W222" i="17" s="1"/>
  <c r="J221" i="17"/>
  <c r="M221" i="17" s="1"/>
  <c r="I221" i="17"/>
  <c r="L221" i="17" s="1"/>
  <c r="H221" i="17"/>
  <c r="W221" i="17" s="1"/>
  <c r="W220" i="17"/>
  <c r="P220" i="17"/>
  <c r="K220" i="17"/>
  <c r="J220" i="17"/>
  <c r="M220" i="17" s="1"/>
  <c r="I220" i="17"/>
  <c r="L220" i="17" s="1"/>
  <c r="W219" i="17"/>
  <c r="O219" i="17"/>
  <c r="K219" i="17"/>
  <c r="J219" i="17"/>
  <c r="M219" i="17" s="1"/>
  <c r="I219" i="17"/>
  <c r="L219" i="17" s="1"/>
  <c r="W218" i="17"/>
  <c r="R218" i="17"/>
  <c r="Q218" i="17"/>
  <c r="O218" i="17"/>
  <c r="K218" i="17"/>
  <c r="J218" i="17"/>
  <c r="M218" i="17" s="1"/>
  <c r="I218" i="17"/>
  <c r="L218" i="17" s="1"/>
  <c r="W217" i="17"/>
  <c r="J217" i="17"/>
  <c r="I217" i="17"/>
  <c r="W216" i="17"/>
  <c r="R216" i="17"/>
  <c r="Q216" i="17"/>
  <c r="O216" i="17"/>
  <c r="K216" i="17"/>
  <c r="J216" i="17"/>
  <c r="M216" i="17" s="1"/>
  <c r="I216" i="17"/>
  <c r="L216" i="17" s="1"/>
  <c r="W215" i="17"/>
  <c r="O215" i="17"/>
  <c r="K215" i="17"/>
  <c r="J215" i="17"/>
  <c r="M215" i="17" s="1"/>
  <c r="I215" i="17"/>
  <c r="L215" i="17" s="1"/>
  <c r="W214" i="17"/>
  <c r="H213" i="17"/>
  <c r="W213" i="17" s="1"/>
  <c r="W212" i="17"/>
  <c r="K212" i="17"/>
  <c r="J212" i="17"/>
  <c r="M212" i="17" s="1"/>
  <c r="I212" i="17"/>
  <c r="L212" i="17" s="1"/>
  <c r="W211" i="17"/>
  <c r="P211" i="17"/>
  <c r="K211" i="17"/>
  <c r="J211" i="17"/>
  <c r="M211" i="17" s="1"/>
  <c r="I211" i="17"/>
  <c r="L211" i="17" s="1"/>
  <c r="W210" i="17"/>
  <c r="P210" i="17"/>
  <c r="K210" i="17"/>
  <c r="J210" i="17"/>
  <c r="M210" i="17" s="1"/>
  <c r="I210" i="17"/>
  <c r="L210" i="17" s="1"/>
  <c r="W209" i="17"/>
  <c r="O209" i="17"/>
  <c r="K209" i="17"/>
  <c r="J209" i="17"/>
  <c r="M209" i="17" s="1"/>
  <c r="I209" i="17"/>
  <c r="L209" i="17" s="1"/>
  <c r="W208" i="17"/>
  <c r="P208" i="17"/>
  <c r="K208" i="17"/>
  <c r="J208" i="17"/>
  <c r="M208" i="17" s="1"/>
  <c r="I208" i="17"/>
  <c r="L208" i="17" s="1"/>
  <c r="W207" i="17"/>
  <c r="H206" i="17"/>
  <c r="W206" i="17" s="1"/>
  <c r="J205" i="17"/>
  <c r="M205" i="17" s="1"/>
  <c r="I205" i="17"/>
  <c r="L205" i="17" s="1"/>
  <c r="H205" i="17"/>
  <c r="W205" i="17" s="1"/>
  <c r="W204" i="17"/>
  <c r="P204" i="17"/>
  <c r="K204" i="17"/>
  <c r="J204" i="17"/>
  <c r="M204" i="17" s="1"/>
  <c r="I204" i="17"/>
  <c r="L204" i="17" s="1"/>
  <c r="W203" i="17"/>
  <c r="P203" i="17"/>
  <c r="K203" i="17"/>
  <c r="J203" i="17"/>
  <c r="M203" i="17" s="1"/>
  <c r="I203" i="17"/>
  <c r="L203" i="17" s="1"/>
  <c r="W202" i="17"/>
  <c r="P202" i="17"/>
  <c r="K202" i="17"/>
  <c r="J202" i="17"/>
  <c r="M202" i="17" s="1"/>
  <c r="I202" i="17"/>
  <c r="L202" i="17" s="1"/>
  <c r="W201" i="17"/>
  <c r="J200" i="17"/>
  <c r="M200" i="17" s="1"/>
  <c r="I200" i="17"/>
  <c r="L200" i="17" s="1"/>
  <c r="H200" i="17"/>
  <c r="W200" i="17" s="1"/>
  <c r="W199" i="17"/>
  <c r="P199" i="17"/>
  <c r="K199" i="17"/>
  <c r="J199" i="17"/>
  <c r="M199" i="17" s="1"/>
  <c r="I199" i="17"/>
  <c r="L199" i="17" s="1"/>
  <c r="W198" i="17"/>
  <c r="P198" i="17"/>
  <c r="K198" i="17"/>
  <c r="J198" i="17"/>
  <c r="M198" i="17" s="1"/>
  <c r="I198" i="17"/>
  <c r="L198" i="17" s="1"/>
  <c r="J197" i="17"/>
  <c r="M197" i="17" s="1"/>
  <c r="I197" i="17"/>
  <c r="L197" i="17" s="1"/>
  <c r="H197" i="17"/>
  <c r="P197" i="17" s="1"/>
  <c r="W196" i="17"/>
  <c r="O196" i="17"/>
  <c r="K196" i="17"/>
  <c r="J196" i="17"/>
  <c r="M196" i="17" s="1"/>
  <c r="I196" i="17"/>
  <c r="L196" i="17" s="1"/>
  <c r="W195" i="17"/>
  <c r="R195" i="17"/>
  <c r="Q195" i="17"/>
  <c r="O195" i="17"/>
  <c r="K195" i="17"/>
  <c r="J195" i="17"/>
  <c r="M195" i="17" s="1"/>
  <c r="I195" i="17"/>
  <c r="L195" i="17" s="1"/>
  <c r="W194" i="17"/>
  <c r="R194" i="17"/>
  <c r="Q194" i="17"/>
  <c r="O194" i="17"/>
  <c r="K194" i="17"/>
  <c r="J194" i="17"/>
  <c r="M194" i="17" s="1"/>
  <c r="I194" i="17"/>
  <c r="L194" i="17" s="1"/>
  <c r="W193" i="17"/>
  <c r="O193" i="17"/>
  <c r="K193" i="17"/>
  <c r="J193" i="17"/>
  <c r="M193" i="17" s="1"/>
  <c r="I193" i="17"/>
  <c r="L193" i="17" s="1"/>
  <c r="W192" i="17"/>
  <c r="W191" i="17"/>
  <c r="J190" i="17"/>
  <c r="M190" i="17" s="1"/>
  <c r="I190" i="17"/>
  <c r="L190" i="17" s="1"/>
  <c r="H190" i="17"/>
  <c r="W190" i="17" s="1"/>
  <c r="W189" i="17"/>
  <c r="R189" i="17"/>
  <c r="Q189" i="17"/>
  <c r="K189" i="17"/>
  <c r="J189" i="17"/>
  <c r="M189" i="17" s="1"/>
  <c r="I189" i="17"/>
  <c r="L189" i="17" s="1"/>
  <c r="W188" i="17"/>
  <c r="R188" i="17"/>
  <c r="Q188" i="17"/>
  <c r="K188" i="17"/>
  <c r="J188" i="17"/>
  <c r="M188" i="17" s="1"/>
  <c r="I188" i="17"/>
  <c r="L188" i="17" s="1"/>
  <c r="W187" i="17"/>
  <c r="R187" i="17"/>
  <c r="Q187" i="17"/>
  <c r="K187" i="17"/>
  <c r="J187" i="17"/>
  <c r="M187" i="17" s="1"/>
  <c r="I187" i="17"/>
  <c r="L187" i="17" s="1"/>
  <c r="W186" i="17"/>
  <c r="R186" i="17"/>
  <c r="Q186" i="17"/>
  <c r="K186" i="17"/>
  <c r="J186" i="17"/>
  <c r="M186" i="17" s="1"/>
  <c r="I186" i="17"/>
  <c r="L186" i="17" s="1"/>
  <c r="W185" i="17"/>
  <c r="R185" i="17"/>
  <c r="Q185" i="17"/>
  <c r="K185" i="17"/>
  <c r="J185" i="17"/>
  <c r="M185" i="17" s="1"/>
  <c r="I185" i="17"/>
  <c r="L185" i="17" s="1"/>
  <c r="W184" i="17"/>
  <c r="R184" i="17"/>
  <c r="Q184" i="17"/>
  <c r="K184" i="17"/>
  <c r="J184" i="17"/>
  <c r="M184" i="17" s="1"/>
  <c r="I184" i="17"/>
  <c r="L184" i="17" s="1"/>
  <c r="J183" i="17"/>
  <c r="M183" i="17" s="1"/>
  <c r="I183" i="17"/>
  <c r="L183" i="17" s="1"/>
  <c r="H183" i="17"/>
  <c r="W183" i="17" s="1"/>
  <c r="J182" i="17"/>
  <c r="M182" i="17" s="1"/>
  <c r="I182" i="17"/>
  <c r="L182" i="17" s="1"/>
  <c r="H182" i="17"/>
  <c r="K182" i="17" s="1"/>
  <c r="W181" i="17"/>
  <c r="J180" i="17"/>
  <c r="M180" i="17" s="1"/>
  <c r="I180" i="17"/>
  <c r="L180" i="17" s="1"/>
  <c r="H180" i="17"/>
  <c r="K180" i="17" s="1"/>
  <c r="W179" i="17"/>
  <c r="R179" i="17"/>
  <c r="Q179" i="17"/>
  <c r="K179" i="17"/>
  <c r="J179" i="17"/>
  <c r="M179" i="17" s="1"/>
  <c r="I179" i="17"/>
  <c r="L179" i="17" s="1"/>
  <c r="W178" i="17"/>
  <c r="R178" i="17"/>
  <c r="Q178" i="17"/>
  <c r="K178" i="17"/>
  <c r="J178" i="17"/>
  <c r="M178" i="17" s="1"/>
  <c r="I178" i="17"/>
  <c r="L178" i="17" s="1"/>
  <c r="W177" i="17"/>
  <c r="R177" i="17"/>
  <c r="Q177" i="17"/>
  <c r="K177" i="17"/>
  <c r="J177" i="17"/>
  <c r="M177" i="17" s="1"/>
  <c r="I177" i="17"/>
  <c r="L177" i="17" s="1"/>
  <c r="W176" i="17"/>
  <c r="J176" i="17"/>
  <c r="I176" i="17"/>
  <c r="W175" i="17"/>
  <c r="K175" i="17"/>
  <c r="J175" i="17"/>
  <c r="R175" i="17" s="1"/>
  <c r="I175" i="17"/>
  <c r="L175" i="17" s="1"/>
  <c r="W174" i="17"/>
  <c r="K174" i="17"/>
  <c r="J174" i="17"/>
  <c r="R174" i="17" s="1"/>
  <c r="I174" i="17"/>
  <c r="Q174" i="17" s="1"/>
  <c r="W173" i="17"/>
  <c r="K173" i="17"/>
  <c r="J173" i="17"/>
  <c r="R173" i="17" s="1"/>
  <c r="I173" i="17"/>
  <c r="Q173" i="17" s="1"/>
  <c r="W172" i="17"/>
  <c r="K172" i="17"/>
  <c r="J172" i="17"/>
  <c r="R172" i="17" s="1"/>
  <c r="I172" i="17"/>
  <c r="Q172" i="17" s="1"/>
  <c r="W171" i="17"/>
  <c r="R171" i="17"/>
  <c r="Q171" i="17"/>
  <c r="K171" i="17"/>
  <c r="J171" i="17"/>
  <c r="M171" i="17" s="1"/>
  <c r="I171" i="17"/>
  <c r="L171" i="17" s="1"/>
  <c r="J170" i="17"/>
  <c r="M170" i="17" s="1"/>
  <c r="I170" i="17"/>
  <c r="L170" i="17" s="1"/>
  <c r="H170" i="17"/>
  <c r="W170" i="17" s="1"/>
  <c r="J169" i="17"/>
  <c r="M169" i="17" s="1"/>
  <c r="I169" i="17"/>
  <c r="L169" i="17" s="1"/>
  <c r="H169" i="17"/>
  <c r="W169" i="17" s="1"/>
  <c r="W168" i="17"/>
  <c r="R168" i="17"/>
  <c r="Q168" i="17"/>
  <c r="K168" i="17"/>
  <c r="J168" i="17"/>
  <c r="M168" i="17" s="1"/>
  <c r="I168" i="17"/>
  <c r="L168" i="17" s="1"/>
  <c r="W167" i="17"/>
  <c r="J166" i="17"/>
  <c r="M166" i="17" s="1"/>
  <c r="I166" i="17"/>
  <c r="L166" i="17" s="1"/>
  <c r="H166" i="17"/>
  <c r="K166" i="17" s="1"/>
  <c r="W165" i="17"/>
  <c r="S165" i="17"/>
  <c r="R165" i="17"/>
  <c r="K165" i="17"/>
  <c r="J165" i="17"/>
  <c r="M165" i="17" s="1"/>
  <c r="I165" i="17"/>
  <c r="L165" i="17" s="1"/>
  <c r="W164" i="17"/>
  <c r="S164" i="17"/>
  <c r="R164" i="17"/>
  <c r="K164" i="17"/>
  <c r="J164" i="17"/>
  <c r="M164" i="17" s="1"/>
  <c r="I164" i="17"/>
  <c r="L164" i="17" s="1"/>
  <c r="W163" i="17"/>
  <c r="S163" i="17"/>
  <c r="R163" i="17"/>
  <c r="K163" i="17"/>
  <c r="J163" i="17"/>
  <c r="M163" i="17" s="1"/>
  <c r="I163" i="17"/>
  <c r="L163" i="17" s="1"/>
  <c r="W162" i="17"/>
  <c r="J162" i="17"/>
  <c r="I162" i="17"/>
  <c r="W161" i="17"/>
  <c r="J161" i="17"/>
  <c r="I161" i="17"/>
  <c r="W160" i="17"/>
  <c r="J160" i="17"/>
  <c r="I160" i="17"/>
  <c r="W159" i="17"/>
  <c r="J159" i="17"/>
  <c r="I159" i="17"/>
  <c r="W158" i="17"/>
  <c r="P158" i="17"/>
  <c r="K158" i="17"/>
  <c r="J158" i="17"/>
  <c r="M158" i="17" s="1"/>
  <c r="I158" i="17"/>
  <c r="L158" i="17" s="1"/>
  <c r="R157" i="17"/>
  <c r="Q157" i="17"/>
  <c r="J157" i="17"/>
  <c r="M157" i="17" s="1"/>
  <c r="I157" i="17"/>
  <c r="L157" i="17" s="1"/>
  <c r="H157" i="17"/>
  <c r="W157" i="17" s="1"/>
  <c r="W156" i="17"/>
  <c r="J156" i="17"/>
  <c r="I156" i="17"/>
  <c r="J155" i="17"/>
  <c r="M155" i="17" s="1"/>
  <c r="I155" i="17"/>
  <c r="L155" i="17" s="1"/>
  <c r="H155" i="17"/>
  <c r="W155" i="17" s="1"/>
  <c r="J154" i="17"/>
  <c r="M154" i="17" s="1"/>
  <c r="I154" i="17"/>
  <c r="L154" i="17" s="1"/>
  <c r="H154" i="17"/>
  <c r="K154" i="17" s="1"/>
  <c r="J153" i="17"/>
  <c r="M153" i="17" s="1"/>
  <c r="I153" i="17"/>
  <c r="L153" i="17" s="1"/>
  <c r="H153" i="17"/>
  <c r="W153" i="17" s="1"/>
  <c r="W152" i="17"/>
  <c r="P152" i="17"/>
  <c r="K152" i="17"/>
  <c r="J152" i="17"/>
  <c r="M152" i="17" s="1"/>
  <c r="I152" i="17"/>
  <c r="L152" i="17" s="1"/>
  <c r="W151" i="17"/>
  <c r="P151" i="17"/>
  <c r="K151" i="17"/>
  <c r="J151" i="17"/>
  <c r="M151" i="17" s="1"/>
  <c r="I151" i="17"/>
  <c r="L151" i="17" s="1"/>
  <c r="P150" i="17"/>
  <c r="J150" i="17"/>
  <c r="I150" i="17"/>
  <c r="W149" i="17"/>
  <c r="Q149" i="17"/>
  <c r="K149" i="17"/>
  <c r="J149" i="17"/>
  <c r="M149" i="17" s="1"/>
  <c r="I149" i="17"/>
  <c r="L149" i="17" s="1"/>
  <c r="W148" i="17"/>
  <c r="Q148" i="17"/>
  <c r="K148" i="17"/>
  <c r="J148" i="17"/>
  <c r="M148" i="17" s="1"/>
  <c r="I148" i="17"/>
  <c r="L148" i="17" s="1"/>
  <c r="W147" i="17"/>
  <c r="J146" i="17"/>
  <c r="M146" i="17" s="1"/>
  <c r="I146" i="17"/>
  <c r="L146" i="17" s="1"/>
  <c r="H146" i="17"/>
  <c r="K146" i="17" s="1"/>
  <c r="W145" i="17"/>
  <c r="R145" i="17"/>
  <c r="Q145" i="17"/>
  <c r="K145" i="17"/>
  <c r="J145" i="17"/>
  <c r="M145" i="17" s="1"/>
  <c r="I145" i="17"/>
  <c r="L145" i="17" s="1"/>
  <c r="W144" i="17"/>
  <c r="R144" i="17"/>
  <c r="Q144" i="17"/>
  <c r="K144" i="17"/>
  <c r="J144" i="17"/>
  <c r="M144" i="17" s="1"/>
  <c r="I144" i="17"/>
  <c r="L144" i="17" s="1"/>
  <c r="W143" i="17"/>
  <c r="R143" i="17"/>
  <c r="Q143" i="17"/>
  <c r="K143" i="17"/>
  <c r="J143" i="17"/>
  <c r="M143" i="17" s="1"/>
  <c r="I143" i="17"/>
  <c r="L143" i="17" s="1"/>
  <c r="W142" i="17"/>
  <c r="J142" i="17"/>
  <c r="I142" i="17"/>
  <c r="W141" i="17"/>
  <c r="J141" i="17"/>
  <c r="I141" i="17"/>
  <c r="J140" i="17"/>
  <c r="M140" i="17" s="1"/>
  <c r="I140" i="17"/>
  <c r="L140" i="17" s="1"/>
  <c r="H140" i="17"/>
  <c r="W140" i="17" s="1"/>
  <c r="W139" i="17"/>
  <c r="J139" i="17"/>
  <c r="I139" i="17"/>
  <c r="W138" i="17"/>
  <c r="Q138" i="17"/>
  <c r="K138" i="17"/>
  <c r="J138" i="17"/>
  <c r="M138" i="17" s="1"/>
  <c r="I138" i="17"/>
  <c r="L138" i="17" s="1"/>
  <c r="W137" i="17"/>
  <c r="Q137" i="17"/>
  <c r="K137" i="17"/>
  <c r="J137" i="17"/>
  <c r="M137" i="17" s="1"/>
  <c r="I137" i="17"/>
  <c r="L137" i="17" s="1"/>
  <c r="W136" i="17"/>
  <c r="Q136" i="17"/>
  <c r="K136" i="17"/>
  <c r="J136" i="17"/>
  <c r="M136" i="17" s="1"/>
  <c r="I136" i="17"/>
  <c r="L136" i="17" s="1"/>
  <c r="W135" i="17"/>
  <c r="Q135" i="17"/>
  <c r="P135" i="17"/>
  <c r="K135" i="17"/>
  <c r="J135" i="17"/>
  <c r="M135" i="17" s="1"/>
  <c r="I135" i="17"/>
  <c r="L135" i="17" s="1"/>
  <c r="W134" i="17"/>
  <c r="Q134" i="17"/>
  <c r="K134" i="17"/>
  <c r="J134" i="17"/>
  <c r="M134" i="17" s="1"/>
  <c r="I134" i="17"/>
  <c r="L134" i="17" s="1"/>
  <c r="Q133" i="17"/>
  <c r="J133" i="17"/>
  <c r="M133" i="17" s="1"/>
  <c r="I133" i="17"/>
  <c r="L133" i="17" s="1"/>
  <c r="H133" i="17"/>
  <c r="K133" i="17" s="1"/>
  <c r="W132" i="17"/>
  <c r="Q132" i="17"/>
  <c r="K132" i="17"/>
  <c r="J132" i="17"/>
  <c r="M132" i="17" s="1"/>
  <c r="I132" i="17"/>
  <c r="L132" i="17" s="1"/>
  <c r="W131" i="17"/>
  <c r="J130" i="17"/>
  <c r="M130" i="17" s="1"/>
  <c r="I130" i="17"/>
  <c r="L130" i="17" s="1"/>
  <c r="H130" i="17"/>
  <c r="K130" i="17" s="1"/>
  <c r="J129" i="17"/>
  <c r="M129" i="17" s="1"/>
  <c r="I129" i="17"/>
  <c r="L129" i="17" s="1"/>
  <c r="H129" i="17"/>
  <c r="K129" i="17" s="1"/>
  <c r="J128" i="17"/>
  <c r="M128" i="17" s="1"/>
  <c r="I128" i="17"/>
  <c r="L128" i="17" s="1"/>
  <c r="H128" i="17"/>
  <c r="W128" i="17" s="1"/>
  <c r="J127" i="17"/>
  <c r="M127" i="17" s="1"/>
  <c r="I127" i="17"/>
  <c r="L127" i="17" s="1"/>
  <c r="H127" i="17"/>
  <c r="W127" i="17" s="1"/>
  <c r="W126" i="17"/>
  <c r="P126" i="17"/>
  <c r="K126" i="17"/>
  <c r="J126" i="17"/>
  <c r="M126" i="17" s="1"/>
  <c r="I126" i="17"/>
  <c r="L126" i="17" s="1"/>
  <c r="W125" i="17"/>
  <c r="P125" i="17"/>
  <c r="M125" i="17"/>
  <c r="K125" i="17"/>
  <c r="J125" i="17"/>
  <c r="I125" i="17"/>
  <c r="L125" i="17" s="1"/>
  <c r="J124" i="17"/>
  <c r="M124" i="17" s="1"/>
  <c r="I124" i="17"/>
  <c r="L124" i="17" s="1"/>
  <c r="H124" i="17"/>
  <c r="W124" i="17" s="1"/>
  <c r="W123" i="17"/>
  <c r="J122" i="17"/>
  <c r="M122" i="17" s="1"/>
  <c r="I122" i="17"/>
  <c r="L122" i="17" s="1"/>
  <c r="H122" i="17"/>
  <c r="W122" i="17" s="1"/>
  <c r="W121" i="17"/>
  <c r="R121" i="17"/>
  <c r="Q121" i="17"/>
  <c r="K121" i="17"/>
  <c r="J121" i="17"/>
  <c r="M121" i="17" s="1"/>
  <c r="I121" i="17"/>
  <c r="L121" i="17" s="1"/>
  <c r="W120" i="17"/>
  <c r="R120" i="17"/>
  <c r="Q120" i="17"/>
  <c r="K120" i="17"/>
  <c r="J120" i="17"/>
  <c r="M120" i="17" s="1"/>
  <c r="I120" i="17"/>
  <c r="L120" i="17" s="1"/>
  <c r="W119" i="17"/>
  <c r="R119" i="17"/>
  <c r="Q119" i="17"/>
  <c r="K119" i="17"/>
  <c r="J119" i="17"/>
  <c r="M119" i="17" s="1"/>
  <c r="I119" i="17"/>
  <c r="L119" i="17" s="1"/>
  <c r="J118" i="17"/>
  <c r="M118" i="17" s="1"/>
  <c r="I118" i="17"/>
  <c r="L118" i="17" s="1"/>
  <c r="H118" i="17"/>
  <c r="W118" i="17" s="1"/>
  <c r="W117" i="17"/>
  <c r="K117" i="17"/>
  <c r="J117" i="17"/>
  <c r="M117" i="17" s="1"/>
  <c r="I117" i="17"/>
  <c r="L117" i="17" s="1"/>
  <c r="W116" i="17"/>
  <c r="K116" i="17"/>
  <c r="J116" i="17"/>
  <c r="M116" i="17" s="1"/>
  <c r="I116" i="17"/>
  <c r="L116" i="17" s="1"/>
  <c r="W115" i="17"/>
  <c r="K115" i="17"/>
  <c r="J115" i="17"/>
  <c r="M115" i="17" s="1"/>
  <c r="I115" i="17"/>
  <c r="L115" i="17" s="1"/>
  <c r="J114" i="17"/>
  <c r="M114" i="17" s="1"/>
  <c r="I114" i="17"/>
  <c r="L114" i="17" s="1"/>
  <c r="H114" i="17"/>
  <c r="W114" i="17" s="1"/>
  <c r="W113" i="17"/>
  <c r="P113" i="17"/>
  <c r="K113" i="17"/>
  <c r="J113" i="17"/>
  <c r="M113" i="17" s="1"/>
  <c r="I113" i="17"/>
  <c r="L113" i="17" s="1"/>
  <c r="W112" i="17"/>
  <c r="K112" i="17"/>
  <c r="J112" i="17"/>
  <c r="M112" i="17" s="1"/>
  <c r="I112" i="17"/>
  <c r="L112" i="17" s="1"/>
  <c r="W111" i="17"/>
  <c r="J110" i="17"/>
  <c r="M110" i="17" s="1"/>
  <c r="I110" i="17"/>
  <c r="L110" i="17" s="1"/>
  <c r="H110" i="17"/>
  <c r="K110" i="17" s="1"/>
  <c r="W109" i="17"/>
  <c r="R109" i="17"/>
  <c r="Q109" i="17"/>
  <c r="K109" i="17"/>
  <c r="J109" i="17"/>
  <c r="M109" i="17" s="1"/>
  <c r="I109" i="17"/>
  <c r="L109" i="17" s="1"/>
  <c r="W108" i="17"/>
  <c r="R108" i="17"/>
  <c r="Q108" i="17"/>
  <c r="K108" i="17"/>
  <c r="J108" i="17"/>
  <c r="M108" i="17" s="1"/>
  <c r="I108" i="17"/>
  <c r="L108" i="17" s="1"/>
  <c r="W107" i="17"/>
  <c r="R107" i="17"/>
  <c r="Q107" i="17"/>
  <c r="K107" i="17"/>
  <c r="J107" i="17"/>
  <c r="M107" i="17" s="1"/>
  <c r="I107" i="17"/>
  <c r="L107" i="17" s="1"/>
  <c r="W106" i="17"/>
  <c r="J106" i="17"/>
  <c r="I106" i="17"/>
  <c r="W105" i="17"/>
  <c r="R105" i="17"/>
  <c r="Q105" i="17"/>
  <c r="M105" i="17"/>
  <c r="K105" i="17"/>
  <c r="J105" i="17"/>
  <c r="I105" i="17"/>
  <c r="L105" i="17" s="1"/>
  <c r="W104" i="17"/>
  <c r="R104" i="17"/>
  <c r="Q104" i="17"/>
  <c r="K104" i="17"/>
  <c r="J104" i="17"/>
  <c r="M104" i="17" s="1"/>
  <c r="I104" i="17"/>
  <c r="L104" i="17" s="1"/>
  <c r="W103" i="17"/>
  <c r="K103" i="17"/>
  <c r="J103" i="17"/>
  <c r="M103" i="17" s="1"/>
  <c r="I103" i="17"/>
  <c r="L103" i="17" s="1"/>
  <c r="W102" i="17"/>
  <c r="K102" i="17"/>
  <c r="J102" i="17"/>
  <c r="M102" i="17" s="1"/>
  <c r="I102" i="17"/>
  <c r="L102" i="17" s="1"/>
  <c r="W101" i="17"/>
  <c r="P101" i="17"/>
  <c r="K101" i="17"/>
  <c r="J101" i="17"/>
  <c r="M101" i="17" s="1"/>
  <c r="I101" i="17"/>
  <c r="L101" i="17" s="1"/>
  <c r="W100" i="17"/>
  <c r="R100" i="17"/>
  <c r="Q100" i="17"/>
  <c r="K100" i="17"/>
  <c r="J100" i="17"/>
  <c r="M100" i="17" s="1"/>
  <c r="I100" i="17"/>
  <c r="L100" i="17" s="1"/>
  <c r="W99" i="17"/>
  <c r="J99" i="17"/>
  <c r="I99" i="17"/>
  <c r="W98" i="17"/>
  <c r="R98" i="17"/>
  <c r="Q98" i="17"/>
  <c r="K98" i="17"/>
  <c r="J98" i="17"/>
  <c r="M98" i="17" s="1"/>
  <c r="I98" i="17"/>
  <c r="L98" i="17" s="1"/>
  <c r="W97" i="17"/>
  <c r="R97" i="17"/>
  <c r="Q97" i="17"/>
  <c r="K97" i="17"/>
  <c r="J97" i="17"/>
  <c r="M97" i="17" s="1"/>
  <c r="I97" i="17"/>
  <c r="L97" i="17" s="1"/>
  <c r="W96" i="17"/>
  <c r="J96" i="17"/>
  <c r="I96" i="17"/>
  <c r="W95" i="17"/>
  <c r="R95" i="17"/>
  <c r="Q95" i="17"/>
  <c r="K95" i="17"/>
  <c r="J95" i="17"/>
  <c r="M95" i="17" s="1"/>
  <c r="I95" i="17"/>
  <c r="L95" i="17" s="1"/>
  <c r="W94" i="17"/>
  <c r="J93" i="17"/>
  <c r="M93" i="17" s="1"/>
  <c r="I93" i="17"/>
  <c r="L93" i="17" s="1"/>
  <c r="H93" i="17"/>
  <c r="W93" i="17" s="1"/>
  <c r="W92" i="17"/>
  <c r="Q92" i="17"/>
  <c r="K92" i="17"/>
  <c r="J92" i="17"/>
  <c r="M92" i="17" s="1"/>
  <c r="I92" i="17"/>
  <c r="L92" i="17" s="1"/>
  <c r="W91" i="17"/>
  <c r="Q91" i="17"/>
  <c r="K91" i="17"/>
  <c r="J91" i="17"/>
  <c r="M91" i="17" s="1"/>
  <c r="I91" i="17"/>
  <c r="L91" i="17" s="1"/>
  <c r="W90" i="17"/>
  <c r="Q90" i="17"/>
  <c r="K90" i="17"/>
  <c r="J90" i="17"/>
  <c r="M90" i="17" s="1"/>
  <c r="I90" i="17"/>
  <c r="L90" i="17" s="1"/>
  <c r="W89" i="17"/>
  <c r="Q89" i="17"/>
  <c r="K89" i="17"/>
  <c r="J89" i="17"/>
  <c r="M89" i="17" s="1"/>
  <c r="I89" i="17"/>
  <c r="L89" i="17" s="1"/>
  <c r="W88" i="17"/>
  <c r="Q88" i="17"/>
  <c r="K88" i="17"/>
  <c r="J88" i="17"/>
  <c r="M88" i="17" s="1"/>
  <c r="I88" i="17"/>
  <c r="L88" i="17" s="1"/>
  <c r="W87" i="17"/>
  <c r="Q87" i="17"/>
  <c r="K87" i="17"/>
  <c r="J87" i="17"/>
  <c r="M87" i="17" s="1"/>
  <c r="I87" i="17"/>
  <c r="L87" i="17" s="1"/>
  <c r="J86" i="17"/>
  <c r="M86" i="17" s="1"/>
  <c r="I86" i="17"/>
  <c r="L86" i="17" s="1"/>
  <c r="H86" i="17"/>
  <c r="K86" i="17" s="1"/>
  <c r="J85" i="17"/>
  <c r="M85" i="17" s="1"/>
  <c r="I85" i="17"/>
  <c r="L85" i="17" s="1"/>
  <c r="H85" i="17"/>
  <c r="W85" i="17" s="1"/>
  <c r="W84" i="17"/>
  <c r="Q84" i="17"/>
  <c r="K84" i="17"/>
  <c r="J84" i="17"/>
  <c r="M84" i="17" s="1"/>
  <c r="I84" i="17"/>
  <c r="L84" i="17" s="1"/>
  <c r="W83" i="17"/>
  <c r="Q83" i="17"/>
  <c r="K83" i="17"/>
  <c r="J83" i="17"/>
  <c r="M83" i="17" s="1"/>
  <c r="I83" i="17"/>
  <c r="L83" i="17" s="1"/>
  <c r="J82" i="17"/>
  <c r="M82" i="17" s="1"/>
  <c r="I82" i="17"/>
  <c r="L82" i="17" s="1"/>
  <c r="H82" i="17"/>
  <c r="K82" i="17" s="1"/>
  <c r="W81" i="17"/>
  <c r="J80" i="17"/>
  <c r="M80" i="17" s="1"/>
  <c r="I80" i="17"/>
  <c r="L80" i="17" s="1"/>
  <c r="H80" i="17"/>
  <c r="K80" i="17" s="1"/>
  <c r="W79" i="17"/>
  <c r="Q79" i="17"/>
  <c r="K79" i="17"/>
  <c r="J79" i="17"/>
  <c r="M79" i="17" s="1"/>
  <c r="I79" i="17"/>
  <c r="L79" i="17" s="1"/>
  <c r="W78" i="17"/>
  <c r="Q78" i="17"/>
  <c r="K78" i="17"/>
  <c r="J78" i="17"/>
  <c r="M78" i="17" s="1"/>
  <c r="I78" i="17"/>
  <c r="L78" i="17" s="1"/>
  <c r="W77" i="17"/>
  <c r="Q77" i="17"/>
  <c r="K77" i="17"/>
  <c r="J77" i="17"/>
  <c r="M77" i="17" s="1"/>
  <c r="I77" i="17"/>
  <c r="L77" i="17" s="1"/>
  <c r="W76" i="17"/>
  <c r="K76" i="17"/>
  <c r="J76" i="17"/>
  <c r="M76" i="17" s="1"/>
  <c r="I76" i="17"/>
  <c r="L76" i="17" s="1"/>
  <c r="J75" i="17"/>
  <c r="M75" i="17" s="1"/>
  <c r="I75" i="17"/>
  <c r="L75" i="17" s="1"/>
  <c r="H75" i="17"/>
  <c r="K75" i="17" s="1"/>
  <c r="J74" i="17"/>
  <c r="M74" i="17" s="1"/>
  <c r="I74" i="17"/>
  <c r="L74" i="17" s="1"/>
  <c r="H74" i="17"/>
  <c r="W74" i="17" s="1"/>
  <c r="W73" i="17"/>
  <c r="K73" i="17"/>
  <c r="J73" i="17"/>
  <c r="M73" i="17" s="1"/>
  <c r="I73" i="17"/>
  <c r="L73" i="17" s="1"/>
  <c r="J72" i="17"/>
  <c r="M72" i="17" s="1"/>
  <c r="I72" i="17"/>
  <c r="L72" i="17" s="1"/>
  <c r="H72" i="17"/>
  <c r="W72" i="17" s="1"/>
  <c r="W71" i="17"/>
  <c r="K71" i="17"/>
  <c r="J71" i="17"/>
  <c r="M71" i="17" s="1"/>
  <c r="I71" i="17"/>
  <c r="L71" i="17" s="1"/>
  <c r="W70" i="17"/>
  <c r="K70" i="17"/>
  <c r="J70" i="17"/>
  <c r="M70" i="17" s="1"/>
  <c r="I70" i="17"/>
  <c r="L70" i="17" s="1"/>
  <c r="W69" i="17"/>
  <c r="J68" i="17"/>
  <c r="M68" i="17" s="1"/>
  <c r="I68" i="17"/>
  <c r="L68" i="17" s="1"/>
  <c r="H68" i="17"/>
  <c r="K68" i="17" s="1"/>
  <c r="W67" i="17"/>
  <c r="Q67" i="17"/>
  <c r="K67" i="17"/>
  <c r="J67" i="17"/>
  <c r="M67" i="17" s="1"/>
  <c r="I67" i="17"/>
  <c r="L67" i="17" s="1"/>
  <c r="W66" i="17"/>
  <c r="Q66" i="17"/>
  <c r="K66" i="17"/>
  <c r="J66" i="17"/>
  <c r="M66" i="17" s="1"/>
  <c r="I66" i="17"/>
  <c r="L66" i="17" s="1"/>
  <c r="W65" i="17"/>
  <c r="Q65" i="17"/>
  <c r="K65" i="17"/>
  <c r="J65" i="17"/>
  <c r="M65" i="17" s="1"/>
  <c r="I65" i="17"/>
  <c r="L65" i="17" s="1"/>
  <c r="W64" i="17"/>
  <c r="Q64" i="17"/>
  <c r="K64" i="17"/>
  <c r="J64" i="17"/>
  <c r="M64" i="17" s="1"/>
  <c r="I64" i="17"/>
  <c r="L64" i="17" s="1"/>
  <c r="J63" i="17"/>
  <c r="M63" i="17" s="1"/>
  <c r="I63" i="17"/>
  <c r="L63" i="17" s="1"/>
  <c r="H63" i="17"/>
  <c r="K63" i="17" s="1"/>
  <c r="J62" i="17"/>
  <c r="M62" i="17" s="1"/>
  <c r="I62" i="17"/>
  <c r="L62" i="17" s="1"/>
  <c r="H62" i="17"/>
  <c r="K62" i="17" s="1"/>
  <c r="W61" i="17"/>
  <c r="K61" i="17"/>
  <c r="E61" i="17"/>
  <c r="J61" i="17" s="1"/>
  <c r="M61" i="17" s="1"/>
  <c r="D61" i="17"/>
  <c r="I61" i="17" s="1"/>
  <c r="L61" i="17" s="1"/>
  <c r="J60" i="17"/>
  <c r="M60" i="17" s="1"/>
  <c r="H60" i="17"/>
  <c r="W60" i="17" s="1"/>
  <c r="D60" i="17"/>
  <c r="I60" i="17" s="1"/>
  <c r="L60" i="17" s="1"/>
  <c r="W59" i="17"/>
  <c r="K59" i="17"/>
  <c r="J58" i="17"/>
  <c r="M58" i="17" s="1"/>
  <c r="I58" i="17"/>
  <c r="L58" i="17" s="1"/>
  <c r="H58" i="17"/>
  <c r="W58" i="17" s="1"/>
  <c r="J57" i="17"/>
  <c r="M57" i="17" s="1"/>
  <c r="I57" i="17"/>
  <c r="L57" i="17" s="1"/>
  <c r="H57" i="17"/>
  <c r="K57" i="17" s="1"/>
  <c r="W56" i="17"/>
  <c r="K56" i="17"/>
  <c r="J56" i="17"/>
  <c r="M56" i="17" s="1"/>
  <c r="I56" i="17"/>
  <c r="L56" i="17" s="1"/>
  <c r="J55" i="17"/>
  <c r="M55" i="17" s="1"/>
  <c r="I55" i="17"/>
  <c r="L55" i="17" s="1"/>
  <c r="H55" i="17"/>
  <c r="W55" i="17" s="1"/>
  <c r="W54" i="17"/>
  <c r="K54" i="17"/>
  <c r="J54" i="17"/>
  <c r="M54" i="17" s="1"/>
  <c r="D54" i="17"/>
  <c r="I54" i="17" s="1"/>
  <c r="L54" i="17" s="1"/>
  <c r="W53" i="17"/>
  <c r="J52" i="17"/>
  <c r="M52" i="17" s="1"/>
  <c r="I52" i="17"/>
  <c r="L52" i="17" s="1"/>
  <c r="H52" i="17"/>
  <c r="K52" i="17" s="1"/>
  <c r="W51" i="17"/>
  <c r="Q51" i="17"/>
  <c r="K51" i="17"/>
  <c r="J51" i="17"/>
  <c r="M51" i="17" s="1"/>
  <c r="I51" i="17"/>
  <c r="L51" i="17" s="1"/>
  <c r="W50" i="17"/>
  <c r="Q50" i="17"/>
  <c r="K50" i="17"/>
  <c r="J50" i="17"/>
  <c r="M50" i="17" s="1"/>
  <c r="I50" i="17"/>
  <c r="L50" i="17" s="1"/>
  <c r="W49" i="17"/>
  <c r="Q49" i="17"/>
  <c r="K49" i="17"/>
  <c r="J49" i="17"/>
  <c r="M49" i="17" s="1"/>
  <c r="I49" i="17"/>
  <c r="L49" i="17" s="1"/>
  <c r="W48" i="17"/>
  <c r="P48" i="17"/>
  <c r="K48" i="17"/>
  <c r="I48" i="17"/>
  <c r="L48" i="17" s="1"/>
  <c r="E48" i="17"/>
  <c r="J48" i="17" s="1"/>
  <c r="M48" i="17" s="1"/>
  <c r="W47" i="17"/>
  <c r="P47" i="17"/>
  <c r="K47" i="17"/>
  <c r="J47" i="17"/>
  <c r="M47" i="17" s="1"/>
  <c r="I47" i="17"/>
  <c r="L47" i="17" s="1"/>
  <c r="W46" i="17"/>
  <c r="P46" i="17"/>
  <c r="K46" i="17"/>
  <c r="J46" i="17"/>
  <c r="M46" i="17" s="1"/>
  <c r="I46" i="17"/>
  <c r="L46" i="17" s="1"/>
  <c r="J45" i="17"/>
  <c r="M45" i="17" s="1"/>
  <c r="I45" i="17"/>
  <c r="L45" i="17" s="1"/>
  <c r="H45" i="17"/>
  <c r="K45" i="17" s="1"/>
  <c r="W44" i="17"/>
  <c r="P44" i="17"/>
  <c r="K44" i="17"/>
  <c r="J44" i="17"/>
  <c r="M44" i="17" s="1"/>
  <c r="I44" i="17"/>
  <c r="L44" i="17" s="1"/>
  <c r="W43" i="17"/>
  <c r="P43" i="17"/>
  <c r="K43" i="17"/>
  <c r="J43" i="17"/>
  <c r="M43" i="17" s="1"/>
  <c r="I43" i="17"/>
  <c r="L43" i="17" s="1"/>
  <c r="J42" i="17"/>
  <c r="M42" i="17" s="1"/>
  <c r="H42" i="17"/>
  <c r="W42" i="17" s="1"/>
  <c r="D42" i="17"/>
  <c r="I42" i="17" s="1"/>
  <c r="L42" i="17" s="1"/>
  <c r="W41" i="17"/>
  <c r="P41" i="17"/>
  <c r="K41" i="17"/>
  <c r="J41" i="17"/>
  <c r="M41" i="17" s="1"/>
  <c r="I41" i="17"/>
  <c r="L41" i="17" s="1"/>
  <c r="W40" i="17"/>
  <c r="H39" i="17"/>
  <c r="W39" i="17" s="1"/>
  <c r="W38" i="17"/>
  <c r="K38" i="17"/>
  <c r="W37" i="17"/>
  <c r="K37" i="17"/>
  <c r="W36" i="17"/>
  <c r="K36" i="17"/>
  <c r="W35" i="17"/>
  <c r="K35" i="17"/>
  <c r="W34" i="17"/>
  <c r="K34" i="17"/>
  <c r="W33" i="17"/>
  <c r="K33" i="17"/>
  <c r="W32" i="17"/>
  <c r="K32" i="17"/>
  <c r="W31" i="17"/>
  <c r="K31" i="17"/>
  <c r="W30" i="17"/>
  <c r="W29" i="17"/>
  <c r="O29" i="17"/>
  <c r="L29" i="17"/>
  <c r="K29" i="17"/>
  <c r="J29" i="17"/>
  <c r="M29" i="17" s="1"/>
  <c r="I29" i="17"/>
  <c r="J28" i="17"/>
  <c r="M28" i="17" s="1"/>
  <c r="I28" i="17"/>
  <c r="H28" i="17"/>
  <c r="P28" i="17" s="1"/>
  <c r="W27" i="17"/>
  <c r="Q27" i="17"/>
  <c r="L27" i="17"/>
  <c r="K27" i="17"/>
  <c r="J27" i="17"/>
  <c r="M27" i="17" s="1"/>
  <c r="I27" i="17"/>
  <c r="W26" i="17"/>
  <c r="Q26" i="17"/>
  <c r="L26" i="17"/>
  <c r="K26" i="17"/>
  <c r="J26" i="17"/>
  <c r="M26" i="17" s="1"/>
  <c r="I26" i="17"/>
  <c r="W25" i="17"/>
  <c r="Q25" i="17"/>
  <c r="L25" i="17"/>
  <c r="K25" i="17"/>
  <c r="J25" i="17"/>
  <c r="M25" i="17" s="1"/>
  <c r="I25" i="17"/>
  <c r="W24" i="17"/>
  <c r="Q24" i="17"/>
  <c r="L24" i="17"/>
  <c r="K24" i="17"/>
  <c r="J24" i="17"/>
  <c r="M24" i="17" s="1"/>
  <c r="I24" i="17"/>
  <c r="J23" i="17"/>
  <c r="M23" i="17" s="1"/>
  <c r="I23" i="17"/>
  <c r="H23" i="17"/>
  <c r="L23" i="17" s="1"/>
  <c r="J22" i="17"/>
  <c r="M22" i="17" s="1"/>
  <c r="I22" i="17"/>
  <c r="H22" i="17"/>
  <c r="L22" i="17" s="1"/>
  <c r="J21" i="17"/>
  <c r="M21" i="17" s="1"/>
  <c r="I21" i="17"/>
  <c r="H21" i="17"/>
  <c r="K21" i="17" s="1"/>
  <c r="H20" i="17"/>
  <c r="W20" i="17" s="1"/>
  <c r="E20" i="17"/>
  <c r="J20" i="17" s="1"/>
  <c r="M20" i="17" s="1"/>
  <c r="D20" i="17"/>
  <c r="I20" i="17" s="1"/>
  <c r="W19" i="17"/>
  <c r="O19" i="17"/>
  <c r="L19" i="17"/>
  <c r="K19" i="17"/>
  <c r="E19" i="17"/>
  <c r="J19" i="17" s="1"/>
  <c r="M19" i="17" s="1"/>
  <c r="D19" i="17"/>
  <c r="I19" i="17" s="1"/>
  <c r="J18" i="17"/>
  <c r="M18" i="17" s="1"/>
  <c r="I18" i="17"/>
  <c r="H18" i="17"/>
  <c r="L18" i="17" s="1"/>
  <c r="J17" i="17"/>
  <c r="M17" i="17" s="1"/>
  <c r="I17" i="17"/>
  <c r="H17" i="17"/>
  <c r="K17" i="17" s="1"/>
  <c r="J16" i="17"/>
  <c r="M16" i="17" s="1"/>
  <c r="I16" i="17"/>
  <c r="H16" i="17"/>
  <c r="W16" i="17" s="1"/>
  <c r="W15" i="17"/>
  <c r="P15" i="17"/>
  <c r="K15" i="17"/>
  <c r="J15" i="17"/>
  <c r="M15" i="17" s="1"/>
  <c r="I15" i="17"/>
  <c r="L15" i="17" s="1"/>
  <c r="W14" i="17"/>
  <c r="W13" i="17"/>
  <c r="K13" i="17"/>
  <c r="W12" i="17"/>
  <c r="K12" i="17"/>
  <c r="W11" i="17"/>
  <c r="K11" i="17"/>
  <c r="W10" i="17"/>
  <c r="K10" i="17"/>
  <c r="W9" i="17"/>
  <c r="K9" i="17"/>
  <c r="W8" i="17"/>
  <c r="K8" i="17"/>
  <c r="H7" i="17"/>
  <c r="W7" i="17" s="1"/>
  <c r="W6" i="17"/>
  <c r="K6" i="17"/>
  <c r="K251" i="17" l="1"/>
  <c r="K170" i="17"/>
  <c r="L174" i="17"/>
  <c r="K200" i="17"/>
  <c r="K213" i="17"/>
  <c r="K127" i="17"/>
  <c r="K55" i="17"/>
  <c r="K153" i="17"/>
  <c r="K206" i="17"/>
  <c r="K221" i="17"/>
  <c r="L173" i="17"/>
  <c r="K197" i="17"/>
  <c r="W235" i="17"/>
  <c r="W257" i="17"/>
  <c r="K16" i="17"/>
  <c r="W154" i="17"/>
  <c r="K155" i="17"/>
  <c r="K157" i="17"/>
  <c r="M175" i="17"/>
  <c r="W180" i="17"/>
  <c r="W197" i="17"/>
  <c r="W258" i="17"/>
  <c r="L172" i="17"/>
  <c r="W130" i="17"/>
  <c r="K18" i="17"/>
  <c r="K20" i="17"/>
  <c r="K22" i="17"/>
  <c r="W28" i="17"/>
  <c r="W45" i="17"/>
  <c r="K58" i="17"/>
  <c r="K60" i="17"/>
  <c r="W63" i="17"/>
  <c r="W68" i="17"/>
  <c r="K72" i="17"/>
  <c r="K74" i="17"/>
  <c r="W75" i="17"/>
  <c r="K93" i="17"/>
  <c r="K128" i="17"/>
  <c r="S155" i="17"/>
  <c r="W166" i="17"/>
  <c r="K169" i="17"/>
  <c r="M173" i="17"/>
  <c r="K183" i="17"/>
  <c r="K205" i="17"/>
  <c r="K248" i="17"/>
  <c r="K42" i="17"/>
  <c r="K244" i="17"/>
  <c r="W23" i="17"/>
  <c r="W18" i="17"/>
  <c r="W22" i="17"/>
  <c r="K23" i="17"/>
  <c r="K28" i="17"/>
  <c r="K85" i="17"/>
  <c r="K118" i="17"/>
  <c r="K124" i="17"/>
  <c r="M174" i="17"/>
  <c r="K190" i="17"/>
  <c r="K227" i="17"/>
  <c r="L17" i="17"/>
  <c r="L21" i="17"/>
  <c r="W233" i="17"/>
  <c r="K233" i="17"/>
  <c r="L16" i="17"/>
  <c r="L20" i="17"/>
  <c r="L28" i="17"/>
  <c r="W146" i="17"/>
  <c r="Q175" i="17"/>
  <c r="K222" i="17"/>
  <c r="O233" i="17"/>
  <c r="K7" i="17"/>
  <c r="W17" i="17"/>
  <c r="W21" i="17"/>
  <c r="K39" i="17"/>
  <c r="W52" i="17"/>
  <c r="W57" i="17"/>
  <c r="W62" i="17"/>
  <c r="W80" i="17"/>
  <c r="W82" i="17"/>
  <c r="W86" i="17"/>
  <c r="W110" i="17"/>
  <c r="W129" i="17"/>
  <c r="W133" i="17"/>
  <c r="R155" i="17"/>
  <c r="K228" i="17"/>
  <c r="K236" i="17"/>
  <c r="W238" i="17"/>
  <c r="W245" i="17"/>
  <c r="W250" i="17"/>
  <c r="K114" i="17"/>
  <c r="K122" i="17"/>
  <c r="K140" i="17"/>
  <c r="M172" i="17"/>
  <c r="W182" i="17"/>
  <c r="K238" i="17"/>
  <c r="J115" i="9" l="1"/>
  <c r="I115" i="9"/>
  <c r="H115" i="9"/>
  <c r="J112" i="9"/>
  <c r="I112" i="9"/>
  <c r="H112" i="9"/>
  <c r="J110" i="9"/>
  <c r="I110" i="9"/>
  <c r="H110" i="9"/>
  <c r="J109" i="9"/>
  <c r="I109" i="9"/>
  <c r="H109" i="9"/>
  <c r="J108" i="9"/>
  <c r="I108" i="9"/>
  <c r="H108" i="9"/>
  <c r="J107" i="9"/>
  <c r="I107" i="9"/>
  <c r="H107" i="9"/>
  <c r="J105" i="9"/>
  <c r="I105" i="9"/>
  <c r="H105" i="9"/>
  <c r="J104" i="9"/>
  <c r="I104" i="9"/>
  <c r="H104" i="9"/>
  <c r="J103" i="9"/>
  <c r="I103" i="9"/>
  <c r="H103" i="9"/>
  <c r="J102" i="9"/>
  <c r="I102" i="9"/>
  <c r="H102" i="9"/>
  <c r="J100" i="9"/>
  <c r="I100" i="9"/>
  <c r="H100" i="9"/>
  <c r="J99" i="9"/>
  <c r="I99" i="9"/>
  <c r="H99" i="9"/>
  <c r="J98" i="9"/>
  <c r="I98" i="9"/>
  <c r="H98" i="9"/>
  <c r="J97" i="9"/>
  <c r="I97" i="9"/>
  <c r="H97" i="9"/>
  <c r="J96" i="9"/>
  <c r="I96" i="9"/>
  <c r="H96" i="9"/>
  <c r="J95" i="9"/>
  <c r="I95" i="9"/>
  <c r="H95" i="9"/>
  <c r="J94" i="9"/>
  <c r="I94" i="9"/>
  <c r="H94" i="9"/>
  <c r="J93" i="9"/>
  <c r="I93" i="9"/>
  <c r="H93" i="9"/>
  <c r="J92" i="9"/>
  <c r="I92" i="9"/>
  <c r="H92" i="9"/>
  <c r="J91" i="9"/>
  <c r="I91" i="9"/>
  <c r="H91" i="9"/>
  <c r="J89" i="9"/>
  <c r="I89" i="9"/>
  <c r="H89" i="9"/>
  <c r="J88" i="9"/>
  <c r="I88" i="9"/>
  <c r="H88" i="9"/>
  <c r="J87" i="9"/>
  <c r="I87" i="9"/>
  <c r="H87" i="9"/>
  <c r="J86" i="9"/>
  <c r="I86" i="9"/>
  <c r="H86" i="9"/>
  <c r="J84" i="9"/>
  <c r="I84" i="9"/>
  <c r="H84" i="9"/>
  <c r="J83" i="9"/>
  <c r="I83" i="9"/>
  <c r="H83" i="9"/>
  <c r="J82" i="9"/>
  <c r="I82" i="9"/>
  <c r="H82" i="9"/>
  <c r="J81" i="9"/>
  <c r="I81" i="9"/>
  <c r="H81" i="9"/>
  <c r="J80" i="9"/>
  <c r="I80" i="9"/>
  <c r="H80" i="9"/>
  <c r="J79" i="9"/>
  <c r="I79" i="9"/>
  <c r="H79" i="9"/>
  <c r="J78" i="9"/>
  <c r="I78" i="9"/>
  <c r="H78" i="9"/>
  <c r="J77" i="9"/>
  <c r="I77" i="9"/>
  <c r="H77" i="9"/>
  <c r="J75" i="9"/>
  <c r="I75" i="9"/>
  <c r="H75" i="9"/>
  <c r="J74" i="9"/>
  <c r="I74" i="9"/>
  <c r="H74" i="9"/>
  <c r="J73" i="9"/>
  <c r="I73" i="9"/>
  <c r="H73" i="9"/>
  <c r="J72" i="9"/>
  <c r="I72" i="9"/>
  <c r="H72" i="9"/>
  <c r="J71" i="9"/>
  <c r="I71" i="9"/>
  <c r="H71" i="9"/>
  <c r="J70" i="9"/>
  <c r="I70" i="9"/>
  <c r="H70" i="9"/>
  <c r="J69" i="9"/>
  <c r="I69" i="9"/>
  <c r="H69" i="9"/>
  <c r="J67" i="9"/>
  <c r="I67" i="9"/>
  <c r="H67" i="9"/>
  <c r="J66" i="9"/>
  <c r="I66" i="9"/>
  <c r="H66" i="9"/>
  <c r="J65" i="9"/>
  <c r="I65" i="9"/>
  <c r="H65" i="9"/>
  <c r="J64" i="9"/>
  <c r="I64" i="9"/>
  <c r="H64" i="9"/>
  <c r="J63" i="9"/>
  <c r="I63" i="9"/>
  <c r="H63" i="9"/>
  <c r="J62" i="9"/>
  <c r="I62" i="9"/>
  <c r="H62" i="9"/>
  <c r="J60" i="9"/>
  <c r="I60" i="9"/>
  <c r="H60" i="9"/>
  <c r="J59" i="9"/>
  <c r="I59" i="9"/>
  <c r="H59" i="9"/>
  <c r="J58" i="9"/>
  <c r="I58" i="9"/>
  <c r="H58" i="9"/>
  <c r="J57" i="9"/>
  <c r="I57" i="9"/>
  <c r="H57" i="9"/>
  <c r="J56" i="9"/>
  <c r="I56" i="9"/>
  <c r="H56" i="9"/>
  <c r="J55" i="9"/>
  <c r="I55" i="9"/>
  <c r="H55" i="9"/>
  <c r="J54" i="9"/>
  <c r="I54" i="9"/>
  <c r="H54" i="9"/>
  <c r="J52" i="9"/>
  <c r="I52" i="9"/>
  <c r="H52" i="9"/>
  <c r="J51" i="9"/>
  <c r="I51" i="9"/>
  <c r="H51" i="9"/>
  <c r="J50" i="9"/>
  <c r="I50" i="9"/>
  <c r="H50" i="9"/>
  <c r="J49" i="9"/>
  <c r="I49" i="9"/>
  <c r="H49" i="9"/>
  <c r="J47" i="9"/>
  <c r="I47" i="9"/>
  <c r="H47" i="9"/>
  <c r="J46" i="9"/>
  <c r="I46" i="9"/>
  <c r="H46" i="9"/>
  <c r="J45" i="9"/>
  <c r="I45" i="9"/>
  <c r="H45" i="9"/>
  <c r="J44" i="9"/>
  <c r="I44" i="9"/>
  <c r="H44" i="9"/>
  <c r="J43" i="9"/>
  <c r="I43" i="9"/>
  <c r="H43" i="9"/>
  <c r="J41" i="9"/>
  <c r="I41" i="9"/>
  <c r="H41" i="9"/>
  <c r="J40" i="9"/>
  <c r="I40" i="9"/>
  <c r="H40" i="9"/>
  <c r="J39" i="9"/>
  <c r="I39" i="9"/>
  <c r="H39" i="9"/>
  <c r="J38" i="9"/>
  <c r="I38" i="9"/>
  <c r="H38" i="9"/>
  <c r="J36" i="9"/>
  <c r="I36" i="9"/>
  <c r="H36" i="9"/>
  <c r="J35" i="9"/>
  <c r="I35" i="9"/>
  <c r="H35" i="9"/>
  <c r="J34" i="9"/>
  <c r="I34" i="9"/>
  <c r="H34" i="9"/>
  <c r="J33" i="9"/>
  <c r="I33" i="9"/>
  <c r="H33" i="9"/>
  <c r="J32" i="9"/>
  <c r="I32" i="9"/>
  <c r="H32" i="9"/>
  <c r="J31" i="9"/>
  <c r="I31" i="9"/>
  <c r="H31" i="9"/>
  <c r="J29" i="9"/>
  <c r="I29" i="9"/>
  <c r="H29" i="9"/>
  <c r="J28" i="9"/>
  <c r="I28" i="9"/>
  <c r="H28" i="9"/>
  <c r="J27" i="9"/>
  <c r="I27" i="9"/>
  <c r="H27" i="9"/>
  <c r="J26" i="9"/>
  <c r="I26" i="9"/>
  <c r="H26" i="9"/>
  <c r="J25" i="9"/>
  <c r="I25" i="9"/>
  <c r="H25" i="9"/>
  <c r="J23" i="9"/>
  <c r="I23" i="9"/>
  <c r="H23" i="9"/>
  <c r="J22" i="9"/>
  <c r="I22" i="9"/>
  <c r="H22" i="9"/>
  <c r="J21" i="9"/>
  <c r="I21" i="9"/>
  <c r="H21" i="9"/>
  <c r="O20" i="9"/>
  <c r="N20" i="9"/>
  <c r="J20" i="9" s="1"/>
  <c r="M20" i="9"/>
  <c r="I20" i="9" s="1"/>
  <c r="J19" i="9"/>
  <c r="I19" i="9"/>
  <c r="H19" i="9"/>
  <c r="J18" i="9"/>
  <c r="I18" i="9"/>
  <c r="H18" i="9"/>
  <c r="J17" i="9"/>
  <c r="I17" i="9"/>
  <c r="H17" i="9"/>
  <c r="J16" i="9"/>
  <c r="I16" i="9"/>
  <c r="H16" i="9"/>
  <c r="J14" i="9"/>
  <c r="I14" i="9"/>
  <c r="H14" i="9"/>
  <c r="J7" i="9"/>
  <c r="I7" i="9"/>
  <c r="H7" i="9"/>
  <c r="J6" i="9"/>
  <c r="I6" i="9"/>
  <c r="H6" i="9"/>
  <c r="J91" i="6" l="1"/>
  <c r="I91" i="6"/>
  <c r="J90" i="6"/>
  <c r="I90" i="6"/>
  <c r="H90" i="6"/>
  <c r="J89" i="6"/>
  <c r="I89" i="6"/>
  <c r="H89" i="6"/>
  <c r="J87" i="6"/>
  <c r="I87" i="6"/>
  <c r="H87" i="6"/>
  <c r="J86" i="6"/>
  <c r="I86" i="6"/>
  <c r="H86" i="6"/>
  <c r="J85" i="6"/>
  <c r="I85" i="6"/>
  <c r="H85" i="6"/>
  <c r="J84" i="6"/>
  <c r="I84" i="6"/>
  <c r="H84" i="6"/>
  <c r="J82" i="6"/>
  <c r="I82" i="6"/>
  <c r="H82" i="6"/>
  <c r="J81" i="6"/>
  <c r="I81" i="6"/>
  <c r="H81" i="6"/>
  <c r="J80" i="6"/>
  <c r="I80" i="6"/>
  <c r="H80" i="6"/>
  <c r="J78" i="6"/>
  <c r="I78" i="6"/>
  <c r="H78" i="6"/>
  <c r="J77" i="6"/>
  <c r="I77" i="6"/>
  <c r="H77" i="6"/>
  <c r="J76" i="6"/>
  <c r="I76" i="6"/>
  <c r="J74" i="6"/>
  <c r="I74" i="6"/>
  <c r="H74" i="6"/>
  <c r="J73" i="6"/>
  <c r="I73" i="6"/>
  <c r="H73" i="6"/>
  <c r="J72" i="6"/>
  <c r="I72" i="6"/>
  <c r="H72" i="6"/>
  <c r="J70" i="6"/>
  <c r="I70" i="6"/>
  <c r="H70" i="6"/>
  <c r="J69" i="6"/>
  <c r="I69" i="6"/>
  <c r="H69" i="6"/>
  <c r="J68" i="6"/>
  <c r="I68" i="6"/>
  <c r="H68" i="6"/>
  <c r="J66" i="6"/>
  <c r="I66" i="6"/>
  <c r="H66" i="6"/>
  <c r="J65" i="6"/>
  <c r="I65" i="6"/>
  <c r="H65" i="6"/>
  <c r="J64" i="6"/>
  <c r="I64" i="6"/>
  <c r="H64" i="6"/>
  <c r="J62" i="6"/>
  <c r="I62" i="6"/>
  <c r="H62" i="6"/>
  <c r="J61" i="6"/>
  <c r="I61" i="6"/>
  <c r="H61" i="6"/>
  <c r="J60" i="6"/>
  <c r="I60" i="6"/>
  <c r="J59" i="6"/>
  <c r="I59" i="6"/>
  <c r="J57" i="6"/>
  <c r="I57" i="6"/>
  <c r="H57" i="6"/>
  <c r="J56" i="6"/>
  <c r="I56" i="6"/>
  <c r="H56" i="6"/>
  <c r="J55" i="6"/>
  <c r="I55" i="6"/>
  <c r="H55" i="6"/>
  <c r="J54" i="6"/>
  <c r="I54" i="6"/>
  <c r="H54" i="6"/>
  <c r="J53" i="6"/>
  <c r="I53" i="6"/>
  <c r="H53" i="6"/>
  <c r="J52" i="6"/>
  <c r="I52" i="6"/>
  <c r="H52" i="6"/>
  <c r="J50" i="6"/>
  <c r="I50" i="6"/>
  <c r="H50" i="6"/>
  <c r="J49" i="6"/>
  <c r="I49" i="6"/>
  <c r="H49" i="6"/>
  <c r="J48" i="6"/>
  <c r="I48" i="6"/>
  <c r="H48" i="6"/>
  <c r="J46" i="6"/>
  <c r="I46" i="6"/>
  <c r="H46" i="6"/>
  <c r="J45" i="6"/>
  <c r="I45" i="6"/>
  <c r="H45" i="6"/>
  <c r="J44" i="6"/>
  <c r="I44" i="6"/>
  <c r="H44" i="6"/>
  <c r="J42" i="6"/>
  <c r="I42" i="6"/>
  <c r="H42" i="6"/>
  <c r="J41" i="6"/>
  <c r="I41" i="6"/>
  <c r="H41" i="6"/>
  <c r="J40" i="6"/>
  <c r="I40" i="6"/>
  <c r="J39" i="6"/>
  <c r="I39" i="6"/>
  <c r="H39" i="6"/>
  <c r="J38" i="6"/>
  <c r="I38" i="6"/>
  <c r="H38" i="6"/>
  <c r="J37" i="6"/>
  <c r="I37" i="6"/>
  <c r="H37" i="6"/>
  <c r="J35" i="6"/>
  <c r="I35" i="6"/>
  <c r="H35" i="6"/>
  <c r="J34" i="6"/>
  <c r="I34" i="6"/>
  <c r="H34" i="6"/>
  <c r="J33" i="6"/>
  <c r="I33" i="6"/>
  <c r="H33" i="6"/>
  <c r="J32" i="6"/>
  <c r="I32" i="6"/>
  <c r="H32" i="6"/>
  <c r="J31" i="6"/>
  <c r="I31" i="6"/>
  <c r="J30" i="6"/>
  <c r="I30" i="6"/>
  <c r="H30" i="6"/>
  <c r="J29" i="6"/>
  <c r="I29" i="6"/>
  <c r="J28" i="6"/>
  <c r="I28" i="6"/>
  <c r="J25" i="6"/>
  <c r="I25" i="6"/>
  <c r="H25" i="6"/>
  <c r="J24" i="6"/>
  <c r="I24" i="6"/>
  <c r="H24" i="6"/>
  <c r="J23" i="6"/>
  <c r="I23" i="6"/>
  <c r="I22" i="6"/>
  <c r="J21" i="6"/>
  <c r="I21" i="6"/>
  <c r="J20" i="6"/>
  <c r="I20" i="6"/>
  <c r="J19" i="6"/>
  <c r="I19" i="6"/>
  <c r="H19" i="6"/>
  <c r="J18" i="6"/>
  <c r="I18" i="6"/>
  <c r="H18" i="6"/>
  <c r="J16" i="6"/>
  <c r="I16" i="6"/>
  <c r="H16" i="6"/>
  <c r="J15" i="6"/>
  <c r="I15" i="6"/>
  <c r="H15" i="6"/>
  <c r="J14" i="6"/>
  <c r="I14" i="6"/>
  <c r="H14" i="6"/>
  <c r="J13" i="6"/>
  <c r="I13" i="6"/>
  <c r="H13" i="6"/>
  <c r="J12" i="6"/>
  <c r="I12" i="6"/>
  <c r="H12" i="6"/>
  <c r="J11" i="6"/>
  <c r="I11" i="6"/>
  <c r="H11" i="6"/>
  <c r="J10" i="6"/>
  <c r="I10" i="6"/>
  <c r="H10" i="6"/>
  <c r="J9" i="6"/>
  <c r="I9" i="6"/>
  <c r="H9" i="6"/>
  <c r="J8" i="6"/>
  <c r="I8" i="6"/>
  <c r="H8" i="6"/>
</calcChain>
</file>

<file path=xl/sharedStrings.xml><?xml version="1.0" encoding="utf-8"?>
<sst xmlns="http://schemas.openxmlformats.org/spreadsheetml/2006/main" count="3504" uniqueCount="1320">
  <si>
    <t>STT</t>
  </si>
  <si>
    <t>Tên đường, đoạn đường</t>
  </si>
  <si>
    <t>Đơn giá</t>
  </si>
  <si>
    <t>Vị trí 2</t>
  </si>
  <si>
    <t>VT 3</t>
  </si>
  <si>
    <t>VT 4</t>
  </si>
  <si>
    <t>Vị trí 1</t>
  </si>
  <si>
    <t>Vị trí 3</t>
  </si>
  <si>
    <t>Vị trí 4</t>
  </si>
  <si>
    <t>I</t>
  </si>
  <si>
    <t>Xã Thanh Minh</t>
  </si>
  <si>
    <t>Trung tâm xã Thanh Minh</t>
  </si>
  <si>
    <t>1.1</t>
  </si>
  <si>
    <t>Các đường bê tông thuộc tổ 1, 2</t>
  </si>
  <si>
    <t>1.2</t>
  </si>
  <si>
    <t>Các đường đất còn lại thuộc tổ 1, 2</t>
  </si>
  <si>
    <t>Đường Võ Nguyên Giáp</t>
  </si>
  <si>
    <t>4.1</t>
  </si>
  <si>
    <t xml:space="preserve"> - Đoạn từ cầu Huổi Phạ đến hết đất nhà Thưởng Hồng (Thửa 19 TBĐ 51), đối diện bên kia đường hết đất thửa 247 TBĐ 50</t>
  </si>
  <si>
    <t>QĐ 53</t>
  </si>
  <si>
    <t>4.2</t>
  </si>
  <si>
    <t xml:space="preserve"> -Đoạn từ tiếp giáp thửa 19 TBĐ 51 (Đối diện bên kia đường tiếp giáp thửa 247 TBĐ 50) đến hết địa phận xã Thanh Minh</t>
  </si>
  <si>
    <t>Đường trong khu du lịch sinh thái Him Lam và các đường nối vào khu du lịch sinh thái Him Lam</t>
  </si>
  <si>
    <t>Đường Lia 1: Đoạn từ đầu cầu BTCT đến hết đất trường THCS Thanh Minh</t>
  </si>
  <si>
    <t>Đoạn từ ngã 3 rẽ vào bản Tà Lèng đến hết đất trụ sở UBND xã Tà Lèng (cũ)</t>
  </si>
  <si>
    <t xml:space="preserve">QĐ 53 =&gt;QĐ 30 </t>
  </si>
  <si>
    <t>Đường du lịch Tà Lèng - Mường Phăng</t>
  </si>
  <si>
    <t>8.1</t>
  </si>
  <si>
    <t>Đoạn từ tiếp giáp đất trụ sở UBND xã Tà Lèng (cũ) đến hết đất vườn ươm cây giống Mắc ca</t>
  </si>
  <si>
    <t>2.2</t>
  </si>
  <si>
    <t>Đoạn từ tiếp giáp đất vườn ươm cây giống Mắc ca đến hết địa phận bản Kê Nênh</t>
  </si>
  <si>
    <t>8.2</t>
  </si>
  <si>
    <t>QĐ 53 đánh lại stt theo 30 và giá đề xuất tính bình quân</t>
  </si>
  <si>
    <t>8.3</t>
  </si>
  <si>
    <t>Đoạn từ giáp địa phận bản Kê Nênh đến hết địa phận xã Thanh Minh</t>
  </si>
  <si>
    <t xml:space="preserve">Các đường còn lại thuộc các bản: Tà Lèng, Kê Nênh, Cụm Loọng Hỏm </t>
  </si>
  <si>
    <t>QĐ 53 đánh lại stt theo 30</t>
  </si>
  <si>
    <t>Các đường còn lại thuộc bản Nà Nghè</t>
  </si>
  <si>
    <t>Đường Vành đai 3 ASEAN: Đoạn tiếp giáp đường bệnh viện đi Tà Lèng đến hết địa phận Thành Phố</t>
  </si>
  <si>
    <t>II</t>
  </si>
  <si>
    <t>Xã Pá Khoang</t>
  </si>
  <si>
    <t>3.1</t>
  </si>
  <si>
    <t>3.2</t>
  </si>
  <si>
    <t>3.3</t>
  </si>
  <si>
    <t>Đoạn từ ngã ba bản Hả II gồm: Hướng đi Trung tâm xã Mường Phăng đến ngã ba đi bản Co Muông; hướng đi Nhà nghỉ Trúc An đến ngã ba đi bản Co Cượm; hướng đi Nà Nghè đến giáp ranh xã Tà Lèng, thành phố Điện Biên Phủ.</t>
  </si>
  <si>
    <t>3.4</t>
  </si>
  <si>
    <t xml:space="preserve">Đường Nà Nhạn - Mường Phăng: Đoạn tiếp giáp Nà Nhạn đến tiếp giáp Mường Phăng </t>
  </si>
  <si>
    <t>3.5</t>
  </si>
  <si>
    <t>3.6</t>
  </si>
  <si>
    <t xml:space="preserve">Đoạn từ ngã ba Co Cượm đi qua BQLDA Hồ đến tiếp giáp vị trí 3 đường Mường Phăng đi ra Nà Nghè </t>
  </si>
  <si>
    <t>3.7</t>
  </si>
  <si>
    <t>Các trục đường giao thông liên thôn, nội thôn bản còn lại.</t>
  </si>
  <si>
    <t>3.8</t>
  </si>
  <si>
    <t>Các vị trí còn lại trong xã</t>
  </si>
  <si>
    <t>III</t>
  </si>
  <si>
    <t>Xã Mường Phăng</t>
  </si>
  <si>
    <t>Khu Trung tâm xã: Đoạn từ ngã ba đi Nà Nhạn, Nà Nghè đến ngã ba đi Nà Tấu, Hầm Đại tướng Võ Nguyên Giáp</t>
  </si>
  <si>
    <t>4.3</t>
  </si>
  <si>
    <t>QĐ 53 =&gt;QĐ 30*1,0=&gt; Điều chỉnh tên đã bao gồm đoạn TP đề nghị bổ sung</t>
  </si>
  <si>
    <t>4.4</t>
  </si>
  <si>
    <t>4.5</t>
  </si>
  <si>
    <t>4.6</t>
  </si>
  <si>
    <t>Các trục đường liên thôn, nội thôn bản và tương đương</t>
  </si>
  <si>
    <t>4.7</t>
  </si>
  <si>
    <t>IV</t>
  </si>
  <si>
    <t>Xã Nà Tấu</t>
  </si>
  <si>
    <t>5.1</t>
  </si>
  <si>
    <t>5.2</t>
  </si>
  <si>
    <t>5.3</t>
  </si>
  <si>
    <t>5.4</t>
  </si>
  <si>
    <t>QĐ 53 =&gt;QĐ 30 =&gt; Điều chỉnh tên và giá giảm theo so sánh trực tiếp (xã đề xuất giảm)</t>
  </si>
  <si>
    <t>Bổ sung mới  (so sánh trực tiếp)</t>
  </si>
  <si>
    <t>5.5</t>
  </si>
  <si>
    <t>5.6</t>
  </si>
  <si>
    <t>5.7</t>
  </si>
  <si>
    <t>V</t>
  </si>
  <si>
    <t>Xã Nà Nhạn</t>
  </si>
  <si>
    <t>6.1</t>
  </si>
  <si>
    <t>6.2</t>
  </si>
  <si>
    <t>6.3</t>
  </si>
  <si>
    <t xml:space="preserve">6.4 </t>
  </si>
  <si>
    <t>Đoạn từ ngã 3 Nà Nhạn đi Mường Phăng đến giáp xã Pa Khoang</t>
  </si>
  <si>
    <t>6.5</t>
  </si>
  <si>
    <t>6.6</t>
  </si>
  <si>
    <t>2.2. HUYỆN ĐIỆN BIÊN</t>
  </si>
  <si>
    <t>ĐVT: 1.000 đồng/m²</t>
  </si>
  <si>
    <t>Ghi chú</t>
  </si>
  <si>
    <t>Ghi chú 2-rà soát với giá cụ thể đã phê duyệt</t>
  </si>
  <si>
    <t>KHU VỰC TRUNG TÂM HUYỆN LỴ PÚ TỬU</t>
  </si>
  <si>
    <t>Đoạn từ Huyện đội Điện Biên đến hết đất của Công an huyện (đường nhựa)</t>
  </si>
  <si>
    <t>Đường nội bộ 29,5m</t>
  </si>
  <si>
    <t>Đường nội bộ 22,5m</t>
  </si>
  <si>
    <t>Đường nội bộ 13,5m</t>
  </si>
  <si>
    <t>Đường nội bộ 11,5m</t>
  </si>
  <si>
    <t>Đường nội bộ 10,5m</t>
  </si>
  <si>
    <t xml:space="preserve">Đường nội bộ  7,5m </t>
  </si>
  <si>
    <t xml:space="preserve">Đường nội bộ 5,5m </t>
  </si>
  <si>
    <t xml:space="preserve"> </t>
  </si>
  <si>
    <t>Xã Thanh Xương</t>
  </si>
  <si>
    <t>1.3</t>
  </si>
  <si>
    <t>1.4</t>
  </si>
  <si>
    <t>1.5</t>
  </si>
  <si>
    <t>PPSS</t>
  </si>
  <si>
    <t>1.6</t>
  </si>
  <si>
    <t>1.7</t>
  </si>
  <si>
    <t>Đường bê tông vào Trung tâm huyện (trừ vị trí 1,2,3 đường vành đai 2) đoạn từ nhà ông Lẻ đến giáp bờ mương</t>
  </si>
  <si>
    <t>1.8</t>
  </si>
  <si>
    <t>Đường bê tông vào Trung tâm huyện đoạn từ hết đất nhà ông Yên đến giáp khu Trung tâm huyện lỵ mới</t>
  </si>
  <si>
    <t>1.9</t>
  </si>
  <si>
    <t>Các đường liên thôn, nội thôn, ngõ Khu vực bản Ten, bản Pá Luống, Đội C17; bản Bom La; bản Noong Nhai và Đội 18 (trừ các vị trí 1, 2, 3 QL279)</t>
  </si>
  <si>
    <t>1.10</t>
  </si>
  <si>
    <t>Đường phía Đông: Đoạn từ giáp xã Thanh An đến hết ranh giới thành phố Điện Biên Phủ</t>
  </si>
  <si>
    <t>Phương pháp so sánh</t>
  </si>
  <si>
    <t>dự án đường đông ĐB (ĐT) QĐ 901 ngày 12/5/2022</t>
  </si>
  <si>
    <t>1.11</t>
  </si>
  <si>
    <t>Các trục đường giao thông liên thôn, nội thôn bản, ngõ có chiều rộng từ 7 m trở lên</t>
  </si>
  <si>
    <t>Các trục đường giao thông liên thôn, nội thôn bản, ngõ có chiều rộng từ 3 m đến dưới 7 m</t>
  </si>
  <si>
    <t>Có 3 hợp đồng CN</t>
  </si>
  <si>
    <t>Các trục đường giao thông liên thôn, nội thôn bản, ngõ có chiều rộng dưới 3 m</t>
  </si>
  <si>
    <t>1.12</t>
  </si>
  <si>
    <t>1.12a</t>
  </si>
  <si>
    <t>Đoạn từ đường vành đai 2 đến Trung tâm huyện lỵ Pú Tửu (tuyến đường mở mới vào trung tâm huyện lỵ Pú Tửu, trừ vị trí 1, 2, 3 đường vành đai 2)</t>
  </si>
  <si>
    <t>1.13</t>
  </si>
  <si>
    <t>Khu dân cư mới Bom La</t>
  </si>
  <si>
    <t>Đường nội bộ 25m (Các lô LK1+LK2+LK5)</t>
  </si>
  <si>
    <t>Đường nội bộ 25m (Các lô LK3+LK4)</t>
  </si>
  <si>
    <t>Đường nội bộ 20,5m (Các lô LK13+LK14)</t>
  </si>
  <si>
    <t>Đường nội bộ 15m (Lô LK1)</t>
  </si>
  <si>
    <t>Đường nội bộ 15m (Lô LK13)</t>
  </si>
  <si>
    <t>Đường nội bộ 15m (Lô BT11+BT12)</t>
  </si>
  <si>
    <t>Đường nội bộ 13m (Lô LK2+LK3+LK15+LK16+LK17+LK18+LK19+LK21)</t>
  </si>
  <si>
    <t>Đường nội bộ 13m (Lô BT11+LK16)</t>
  </si>
  <si>
    <t>Đường nội bộ 11m (Các lô LK4+LK5+LK6+LK7+LK14+LK15)</t>
  </si>
  <si>
    <t>Xã Thanh An</t>
  </si>
  <si>
    <t>2.1</t>
  </si>
  <si>
    <t xml:space="preserve">QL 279: Đoạn từ giáp xã Thanh Xương đến đường rẽ vào bản Xôm, bản Noong Ứng
</t>
  </si>
  <si>
    <t>sửa tên</t>
  </si>
  <si>
    <t xml:space="preserve">Đoạn từ rẽ vào bản Xôm, bản Noong Ứng đến giáp xã Noong Hẹt (hết đất nhà ông Thắng thôn Hoàng Công Chất)
</t>
  </si>
  <si>
    <t>2.3</t>
  </si>
  <si>
    <t>2.4</t>
  </si>
  <si>
    <t>2.5</t>
  </si>
  <si>
    <t>2.6</t>
  </si>
  <si>
    <t>Đường trục chính vào UBND xã: Đoạn từ tiếp giáp đất nhà ông Chuyển thôn Đông Biên 2 đến tiếp giáp vị trí 3 đường Đông Điện Biên</t>
  </si>
  <si>
    <t>2.7</t>
  </si>
  <si>
    <t>Đường Đông Điện Biên (ĐT.147): Đoạn từ giáp xã Thanh Xương đến giáp xã Noong Hẹt</t>
  </si>
  <si>
    <t>2.8</t>
  </si>
  <si>
    <t>Đoạn từ tiếp giáp vị trí 3 QL 279 qua thôn Trại giống đến Kênh thủy nông</t>
  </si>
  <si>
    <t>2.9</t>
  </si>
  <si>
    <t>3 hợp đồng CN</t>
  </si>
  <si>
    <t>2.10</t>
  </si>
  <si>
    <t>Xã Noong Hẹt</t>
  </si>
  <si>
    <t>Các vị trí còn lại trong chợ bản phủ</t>
  </si>
  <si>
    <t>3.9</t>
  </si>
  <si>
    <t>3.10</t>
  </si>
  <si>
    <t>3.11</t>
  </si>
  <si>
    <t>Đường Đông Điện Biên (ĐT147) QĐ 901</t>
  </si>
  <si>
    <t>3.12</t>
  </si>
  <si>
    <t xml:space="preserve">12 hợp đồng CN </t>
  </si>
  <si>
    <t>3.13</t>
  </si>
  <si>
    <t>Xã Pom Lót</t>
  </si>
  <si>
    <r>
      <t>Đường đi ĐBĐ</t>
    </r>
    <r>
      <rPr>
        <sz val="13"/>
        <rFont val="Times New Roman"/>
        <family val="1"/>
      </rPr>
      <t>: Tiếp giáp đường QL 279 tại ngã ba hướng đi Điện Biên Đông đến hết đất nhà bà Bùi Thị Mai đối diện là đường vào đội 2.</t>
    </r>
  </si>
  <si>
    <r>
      <t>Đường đi ĐBĐ</t>
    </r>
    <r>
      <rPr>
        <sz val="13"/>
        <rFont val="Times New Roman"/>
        <family val="1"/>
      </rPr>
      <t>: Tiếp giáp đường Quốc lộ 279 tại ngã ba hướng đi Điện Biên Đông đến đến ngã tư đường vào nhà văn hóa thôn 2, đối diện là đường vào thôn 5</t>
    </r>
  </si>
  <si>
    <t>4.8</t>
  </si>
  <si>
    <t>8 hợp đồng CN</t>
  </si>
  <si>
    <t>4.9</t>
  </si>
  <si>
    <t>Xã Sam Mứn</t>
  </si>
  <si>
    <t>Giá đất Xuất tuyến 22kv tại QĐ 1426 của UBND tỉnh T9/2023</t>
  </si>
  <si>
    <t>Giá đất đường Đông Điện Biên (ĐT147) tại QĐ 901 của UBND tỉnh T2/2022</t>
  </si>
  <si>
    <t>5.6a</t>
  </si>
  <si>
    <t>Đường liên xã: Đoạn từ nhà bà Nguyễn Thị Vân (chồng Nguyễn Giang Quốc) thôn 10 Yên Cang (giáp đường vào trụ sở UBND xã) đến giáp địa phận xã Hẹ Muông)</t>
  </si>
  <si>
    <t>Đường trục vào UBND xã: Đoạn từ đất nhà bà Đào đến hết trụ sở UBND xã</t>
  </si>
  <si>
    <t>Xã Noong Luống</t>
  </si>
  <si>
    <t>tách đoạn; thu thập 3 hợp đồng =970.000 đồng/m2</t>
  </si>
  <si>
    <t>trục động lực QĐ 1108 của UBND tỉnh ngày 28/6/2022; giá là 800.000 đ</t>
  </si>
  <si>
    <t>6.1a</t>
  </si>
  <si>
    <t>Đường giao thông kết nối các khu vực kinh tế trọng điểm thuộc vùng kinh tế động lực dọc trục Quốc lộ 279 và Quốc lộ 12, tỉnh Điện Biên (tuyến nhánh 4): Từ giáp xã Thanh Yên đến ngã tư UBND xã Noong Luống</t>
  </si>
  <si>
    <t>trục động lực QĐ 1108 của UBND tỉnh ngày 28/6/2022; giá là 860.000 đ</t>
  </si>
  <si>
    <t xml:space="preserve">Đường giao thông kết nối các khu vực kinh tế trọng điểm thuộc vùng kinh tế động lực dọc trục Quốc lộ 279 và Quốc lộ 12, tỉnh Điện Biên: Đoạn từ giáp đất nhà ông Đôi đội 7 đến hết đất nhà ông Bương bản Co Luống
</t>
  </si>
  <si>
    <t>trục động lực QĐ 1108 của UBND tỉnh ngày 28/6/2022; giá là 680.000 đ</t>
  </si>
  <si>
    <t>6.3a</t>
  </si>
  <si>
    <t xml:space="preserve">Đường đi Pa Thơm: đoạn từ nhà ông Bương đến hết đất nhà ông Cương bản Co Luống
</t>
  </si>
  <si>
    <t>6.4</t>
  </si>
  <si>
    <t>Đoạn từ ngã tư UBND về hướng đi hồ Cô Lôm (hết thửa số 173 tờ bản đồ 23-e, ngõ vào nhà ông Liên).</t>
  </si>
  <si>
    <t>trục động lực QĐ 1108 của UBND tỉnh ngày 28/6/2022; giá là 570.000 đ</t>
  </si>
  <si>
    <t>Đoạn từ ngã tư UBND xã đi A2 đến hết nhà ông Bùi Văn Ruật</t>
  </si>
  <si>
    <t xml:space="preserve">Ngã tư bản On về hướng đi đập Hoong Sống (hết đất nhà ông Lịch Sen, đối diện là nhà ông Nhân). </t>
  </si>
  <si>
    <t>6.7</t>
  </si>
  <si>
    <t>6.8</t>
  </si>
  <si>
    <t>trục động lực QĐ 1108 của UBND tỉnh ngày 28/6/2022; giá là 560.000 đ</t>
  </si>
  <si>
    <t>6.9</t>
  </si>
  <si>
    <t>Đường Co Luống - U Va</t>
  </si>
  <si>
    <t>trục động lực QĐ 1108 của UBND tỉnh ngày 28/6/2022; giá là 720.000 đ</t>
  </si>
  <si>
    <t>6.9a</t>
  </si>
  <si>
    <t xml:space="preserve">Đường giao thông kết nối các khu vực kinh tế trọng điểm thuộc vùng kinh tế động lực dọc trục Quốc lộ 279 và Quốc lộ 12, tỉnh Điện Biên: Đoạn từ nhà ông Thân bản Co Luống (từ thửa 783 tờ bản đồ 47-d) đến cầu mới sang xã Pom Lót
</t>
  </si>
  <si>
    <t>vị trí 2,3 tương đương mục 6.3</t>
  </si>
  <si>
    <t>6.10</t>
  </si>
  <si>
    <t>7 hợp đồng CN</t>
  </si>
  <si>
    <t>6.11</t>
  </si>
  <si>
    <t>Xã Thanh Nưa</t>
  </si>
  <si>
    <t>7.1</t>
  </si>
  <si>
    <t>7.2</t>
  </si>
  <si>
    <t>7.3</t>
  </si>
  <si>
    <t>7.4</t>
  </si>
  <si>
    <t>Đoạn từ hết vị trí 3 Quốc lộ 12 đến hết sân nghĩa trang đồi Độc Lập</t>
  </si>
  <si>
    <t>7.5</t>
  </si>
  <si>
    <t>Đoạn từ hết vị trí 3 Quốc lộ 12 đến hết trường tiểu học</t>
  </si>
  <si>
    <t>7.6</t>
  </si>
  <si>
    <t>Đoạn  từ hết vị trí 3 Quốc lộ 12 qua  ngã tư Tông Khao đến hết trường tập lái; đến hết đất nhà ông Phùng Văn Tâm (bản Hồng Lạnh); hướng đi theo đường phía tây giáp xã Thanh Luông.</t>
  </si>
  <si>
    <t>7.6a</t>
  </si>
  <si>
    <t>Đoạn đường nối Quốc lộ 12 và đường phía tây lòng chảo (đường vào chùa Linh Quang)</t>
  </si>
  <si>
    <t>7.7</t>
  </si>
  <si>
    <t>7.8</t>
  </si>
  <si>
    <t>Xã Hua Thanh</t>
  </si>
  <si>
    <t>8.4</t>
  </si>
  <si>
    <t>Các trục đường liên thôn, nội thôn bản, ngõ có chiều rộng dưới 3m.</t>
  </si>
  <si>
    <t>8.5</t>
  </si>
  <si>
    <t>Xã Thanh Luông</t>
  </si>
  <si>
    <t>9.1</t>
  </si>
  <si>
    <t>9.2</t>
  </si>
  <si>
    <t>9.3</t>
  </si>
  <si>
    <t>trục động lực tại QĐ 1108 của UBND tỉnh ngày 28/6/2022, giá là 2.150.000 đ</t>
  </si>
  <si>
    <t>9.4</t>
  </si>
  <si>
    <t>9.5</t>
  </si>
  <si>
    <t>Đường từ ngã ba Nghĩa trang C1 đến tiếp nối đường đi Hua Pe (trừ các vị trí 1,2,3 của đoạn này)</t>
  </si>
  <si>
    <t>trục động lực tại QĐ 1108 của UBND tỉnh ngày 28/6/2022, giá là 1.000.000 đ; tuy nhiên đây là đường vào khu đấu giá 05-06 nên mức giá cao hơn khu đấu</t>
  </si>
  <si>
    <t>9.6</t>
  </si>
  <si>
    <t>Đoạn từ bờ mương C8 đến ngã ba Nghĩa trang C1</t>
  </si>
  <si>
    <t xml:space="preserve">trục động lực tại QĐ 1108 của UBND tỉnh ngày 28/6/2022, giá là 1.550.000 đ; </t>
  </si>
  <si>
    <t>9.7</t>
  </si>
  <si>
    <t>Đoạn từ giáp thành phố Điện Biên Phủ đến nhà ông Đắc</t>
  </si>
  <si>
    <t>Đoạn từ nhà ông Phạm Quang Uy thôn Thanh Đông đến hết đất ông Bùi Văn Quý thôn Thanh Đông</t>
  </si>
  <si>
    <t>Đường tránh QĐ 1460 ngày 16/8/2022; giá là 2.300.000 đ</t>
  </si>
  <si>
    <t>9.7a</t>
  </si>
  <si>
    <t>Đường tránh QĐ 1460 ngày 16/8/2022</t>
  </si>
  <si>
    <t>9.8</t>
  </si>
  <si>
    <t>Đoạn từ hết vị trí 3 đường trục đường đi Hua Pe đến cầu Cộng Hoà.</t>
  </si>
  <si>
    <t>9.8a</t>
  </si>
  <si>
    <t xml:space="preserve">Đoạn đường tránh sân bay nối từ đường đi xã Thanh Hưng với đường đi xã Thanh Luông (để thực hiện dự án Nâng cấp, cải tạo Cảng hàng không Điện Biên): Đoạn từ cầu suối Hoong Pinh đến hết ruộng ông Trần Hữu Thắng, thôn Cộng Hòa
</t>
  </si>
  <si>
    <t>vị trí 2,3 tương ứng với mục 9.1</t>
  </si>
  <si>
    <t>9.8b</t>
  </si>
  <si>
    <t>Đường giao thông kết nối các khu vực kinh tế trọng điểm thuộc vùng kinh tế động lực dọc trục Quốc lộ 279 và Quốc lộ 12, tỉnh Điện Biên (tuyến chính): Đoạn từ tiếp giáp đường đi Hua Pe đến tiếp giáp xã Thanh Hưng</t>
  </si>
  <si>
    <t>9.9</t>
  </si>
  <si>
    <t>5 hợp đồng CN</t>
  </si>
  <si>
    <t>9.10</t>
  </si>
  <si>
    <t>Xã Thanh Hưng</t>
  </si>
  <si>
    <t>10.1</t>
  </si>
  <si>
    <t>trục động lực tại QĐ 1108 của UBND tỉnh ngày 28/6/2022, giá là 3.200.000 đ</t>
  </si>
  <si>
    <t>10.2</t>
  </si>
  <si>
    <t>10.3</t>
  </si>
  <si>
    <t>10.4</t>
  </si>
  <si>
    <t>10.5</t>
  </si>
  <si>
    <t>10.6</t>
  </si>
  <si>
    <t>10.7</t>
  </si>
  <si>
    <t>Tách đoạn</t>
  </si>
  <si>
    <t>10.7a</t>
  </si>
  <si>
    <t>trục động lực tại QĐ 1108 của UBND tỉnh ngày 28/6/2022, giá là 2.155.000 đ</t>
  </si>
  <si>
    <t>10.8</t>
  </si>
  <si>
    <t>Đường ngã ba Noong Pết đến chân đập hồ Hồng Khếnh (trừ các vị trí 1, 2,3 khu trung tâm xã)</t>
  </si>
  <si>
    <t>trục động lực tại QĐ 1108 của UBND tỉnh ngày 28/6/2022 giá là 1255 tuy nhiên chỉ có 6 thửa (sau khi hoàn thành dự án điều chỉnh sau)</t>
  </si>
  <si>
    <t>10.8a</t>
  </si>
  <si>
    <t>Đoạn đường từ ngã ba nhà bà Hiền (thôn Việt Thanh) đi qua thôn Việt Thanh, thôn Hồng Thái, thôn Thanh Hòa đến ao nhà ông Lễ.</t>
  </si>
  <si>
    <t>10.8b</t>
  </si>
  <si>
    <t>Đoạn đường tránh sân bay nối từ đường đi xã Thanh Hưng với đường đi xã Thanh Luông (để thực hiện dự án Nâng cấp, cải tạo Cảng hàng không Điện Biên): Đoạn từ Nhà ông Hà Văn Cân đến Cầu suối Hoong Pinh</t>
  </si>
  <si>
    <t>vị trí 2,3 tương ứng với mục 9.1 xã Thanh Luông</t>
  </si>
  <si>
    <t>10.8c</t>
  </si>
  <si>
    <t>Đoạn từ ngã ba thôn Mỹ Hưng +100m đến ngã ba thôn Hưng Thịnh (nhà ông Bùi Đức Oánh)</t>
  </si>
  <si>
    <t>trục động lực tại QĐ 1108 của UBND tỉnh ngày 28/6/2022</t>
  </si>
  <si>
    <t>vị trí 2,3 tương đương mục 10.7</t>
  </si>
  <si>
    <t>10.8d</t>
  </si>
  <si>
    <t xml:space="preserve">Đoạn từ ngã ba Lếch Cang đi qua khu tái định cư Hồ Huổi Trạng Tai đến cầu bê tông
</t>
  </si>
  <si>
    <t>vị trí 2,3 tương đương mục 10.8c</t>
  </si>
  <si>
    <t>10.8đ</t>
  </si>
  <si>
    <t xml:space="preserve">Đường đi Hồ Huổi Trạng Tai: Đoạn từ ngã ba Lếch Cang đến chân đập hồ Huổi Trạng Tai
</t>
  </si>
  <si>
    <t>10.9</t>
  </si>
  <si>
    <t>6 hợp đồng CN</t>
  </si>
  <si>
    <t>10.10</t>
  </si>
  <si>
    <t>Xã Thanh Chăn</t>
  </si>
  <si>
    <t>11.1</t>
  </si>
  <si>
    <t>trục động lực tại QĐ 71 của UBND tỉnh ngày 16/1/2023, giá là 3.400.000 đ</t>
  </si>
  <si>
    <t>11.2</t>
  </si>
  <si>
    <t>11.3</t>
  </si>
  <si>
    <t>11.4</t>
  </si>
  <si>
    <t>Đường giao thông kết nối các khu vực kinh tế trọng điểm thuộc vùng kinh tế động lực dọc trục Quốc lộ 279 và Quốc lộ 12, tỉnh Điện Biên: Đoạn từ ngã ba Co Mị qua ngã ba Thanh Hồng theo 2 ngã đến kênh thuỷ nông (trừ các vị trí 1,2,3 QL 12 kéo dài) đến hết đất ao nhà ông Nguyễn Văn Tại Thôn Thanh Hồng 11 (tuyến nhánh)</t>
  </si>
  <si>
    <t>QL12 Thanh Chăn-Thanh Yên tại QĐ 1431 của UBND tỉnh ngày 15/8/2024, giá là 1.310.000 đ</t>
  </si>
  <si>
    <t>11.5</t>
  </si>
  <si>
    <t>11.6</t>
  </si>
  <si>
    <t>11.7</t>
  </si>
  <si>
    <t>Đoạn từ ngã tư Pa Lếch đến hết nhà ông Vượng đội 14</t>
  </si>
  <si>
    <t xml:space="preserve">QL 279: Đoạn từ ngã tư Pa Lếch đến hết nhà ông Vượng bản Pa Lếch
</t>
  </si>
  <si>
    <t>11.8</t>
  </si>
  <si>
    <t xml:space="preserve">Đường đi Na Khưa: Đoạn từ ngã ba thôn Thanh Hà, Thanh Sơn (trừ các vị trí 1,2,3 Quốc lộ 12 Kéo dài) qua bản Na Khưa đến Kênh thủy nông
</t>
  </si>
  <si>
    <t>QL12 Thanh Chăn-Thanh Yên tại QĐ 1431 của UBND tỉnh ngày 15/8/2024, giá là 740.000 đ</t>
  </si>
  <si>
    <t>11.8a</t>
  </si>
  <si>
    <t>Đường giao thông kết nối các khu vực kinh tế trọng điểm thuộc vùng kinh tế động lực dọc trục Quốc lộ 279 và Quốc lộ 12, tỉnh Điện Biên:Đoạn từ giáp xã Thanh Hưng đến giáp xã Thanh Yên (tuyến chính)</t>
  </si>
  <si>
    <t>Huyện đề nghị bổ sung đoạn đường</t>
  </si>
  <si>
    <t>11.9</t>
  </si>
  <si>
    <t>11.10</t>
  </si>
  <si>
    <t>Xã Thanh Yên</t>
  </si>
  <si>
    <t>12.1</t>
  </si>
  <si>
    <t>12.2</t>
  </si>
  <si>
    <t>12.3</t>
  </si>
  <si>
    <t>dự án QL12 Thanh Chăn-Thanh Yên tại QĐ số 1431 ngày 15/8/2024 của UBND tỉnh</t>
  </si>
  <si>
    <t>12.4</t>
  </si>
  <si>
    <t>trục động lực tại QĐ 1108 của UBND tỉnh ngày 28/6/2022, giá là 2.470.000 đ</t>
  </si>
  <si>
    <t>12.5</t>
  </si>
  <si>
    <t>Đoạn từ giáp đất nhà bà Phạm Thị Minh đội 2 Tiến Thanh đến hết đất nhà ông Phạm Văn Tạo đội 7 (trừ các vị trí thuộc khu trung tâm xã)</t>
  </si>
  <si>
    <t>trục động lực tại QĐ 1108 của UBND tỉnh ngày 28/6/2022, giá là 1.520.000 đ</t>
  </si>
  <si>
    <t>12.6</t>
  </si>
  <si>
    <t xml:space="preserve">3 hợp đồng CN </t>
  </si>
  <si>
    <t xml:space="preserve">15 hợp đồng CN </t>
  </si>
  <si>
    <t>12.7</t>
  </si>
  <si>
    <t>CÁC XÃ VÙNG NGOÀI</t>
  </si>
  <si>
    <t>Xã Núa Ngam</t>
  </si>
  <si>
    <t>Xã Hẹ Muông</t>
  </si>
  <si>
    <t>Đường vào trung tâm xã: Đoạn từ ngã 3 bản Pá Hẹ đối diện là nhà ông Lò Văn Thành đến cổng vào trạm Y tế xã</t>
  </si>
  <si>
    <t>Xã Na Tông</t>
  </si>
  <si>
    <t>Xã Mường Nhà</t>
  </si>
  <si>
    <t>4.2a</t>
  </si>
  <si>
    <t>Các trục đường giao thông liên thôn, nội thôn bản tương đương</t>
  </si>
  <si>
    <t>Xã Mường Pồn</t>
  </si>
  <si>
    <t>QL 12: Đoạn từ giáp xã Hua Thanh đến đất nhà ông Thanh Dạ (bản Co Chạy 1)</t>
  </si>
  <si>
    <t>QL 12: Đoạn từ hết đất nhà ông Thanh Dạ (bản Co Chạy 1) đến hết đất dân cư bản Lĩnh</t>
  </si>
  <si>
    <t>Xã Phu Luông</t>
  </si>
  <si>
    <t>Xã Mường Lói</t>
  </si>
  <si>
    <t>Xã Na Ư</t>
  </si>
  <si>
    <t>dự án trạm biến áp tại QĐ 2084 ngày 19/12/2023, giá là 170.000 đ</t>
  </si>
  <si>
    <t>Xã Pa Thơm</t>
  </si>
  <si>
    <t>Đoạn từ giáp xã Noong Luống đến cầu bê tông suối Tát Mạ</t>
  </si>
  <si>
    <t xml:space="preserve">Từ cầu Tát Mạ đi Xa Cuông đến hết bản Pa Xa Xá </t>
  </si>
  <si>
    <t>Từ ngã ba bản Pa Xa Lào đi qua ngã ba đường lên Động Pa Thơm đến hết đất nhà văn hóa bản Pa Thơm</t>
  </si>
  <si>
    <t>Trục đường vào bản Pa Xa Lào</t>
  </si>
  <si>
    <t xml:space="preserve">Khu đất 03 cơ quan (Trạm Bảo vệ thực vật huyện, Trạm thú y huyện, Cục Thuế tỉnh) </t>
  </si>
  <si>
    <t>Thửa đất số 01 Mảnh trích đo địa chính số 100 năm 2020 tiếp giáp 02 mặt đường gồm (QL279 và đường nhựa 13,5m)</t>
  </si>
  <si>
    <t>Thửa đất số 2,6,7,9,11,13,14,16,17,19,21 Mảnh trích đo địa chính số 100 năm 2020 tiếp giáp 01 mặt đường QL279</t>
  </si>
  <si>
    <t>Thửa đất số 05 Mảnh trích đo địa chính số 100 năm 2020 tiếp giáp 02 mặt đường gồm (Đường nhựa 13,5m và đường nhựa 11,5m)</t>
  </si>
  <si>
    <t>Thửa đất số 3,4 Mảnh trích đo địa chính số 100 năm 2020 tiếp giáp 01 mặt đường nhựa 13,5m</t>
  </si>
  <si>
    <t>Thửa đất số 8,10,12,15,18,20 Mảnh trích đo địa chính số 100 năm 2020 tiếp giáp 01 mặt đường nhựa 11,5m</t>
  </si>
  <si>
    <t>Thửa đất số 1,6,7 Mảnh trích đo địa chính số 29 năm 2021 tiếp giáp 02 mặt đường gồm (đường nhựa 13,5m và đường nhựa 11,5m)</t>
  </si>
  <si>
    <t>Thửa đất số 2,3,4,5,8,9 Mảnh trích đo địa chính số 29 năm 2021 tiếp giáp 01 mặt đường nhựa 13,5m</t>
  </si>
  <si>
    <t>Thửa đất số 2,3,4,5,8,9 Mảnh trích đo địa chính số 29 năm 2021 tiếp giáp 01 mặt đường nhựa 11,5m</t>
  </si>
  <si>
    <t>Thửa đất số 23,24,26,27,38 Mảnh trích đo địa chính số 29 năm 2021 tiếp giáp 02 mặt đường gồm (đường nhựa 11,5m và đường nhựa 7,5m)</t>
  </si>
  <si>
    <t>Khu đất đấu giá thôn 24 xã Noong Hẹt</t>
  </si>
  <si>
    <t xml:space="preserve">Các thửa đất số 5, 8, 29, 33, 6, 7, 10, 11, 34, 9, 36, 38, 39, 46, 30 Mảnh trích đo địa chính số 87 năm 2023 tiếp giáp 01 mặt đường nhựa 11,5m </t>
  </si>
  <si>
    <t>đã đấu xong</t>
  </si>
  <si>
    <t xml:space="preserve">Các thửa đất số 58, 47, 48, 55, 56, 57, 52, 53, 54 Mảnh trích đo địa chính số 87 năm 2023 tiếp giáp 01 mặt đường nhựa 9,5m </t>
  </si>
  <si>
    <t>Các thửa đất số 4, 32, 35 Mảnh trích đo địa chính số 87 năm 2023 tiếp giáp 02 mặt đường (gồm đường nhựa 11,5m và đường nhựa 11,5m)</t>
  </si>
  <si>
    <t>Các thửa đất số 45, 50, 51 Mảnh trích đo địa chính số 87 năm 2023 tiếp giáp 02 mặt đường (gồm: đường nhựa 9,5m và đường nhựa 11,5m)</t>
  </si>
  <si>
    <t xml:space="preserve">Các thửa đất số 2, 15, 16, 17, 18, 19, 20, 21, 22, 23, 24, 25, 26, 27, 28, 31, 40, 41, 42, 43, 49  Mảnh trích đo địa chính số 87 năm 2023 tiếp giáp 01 mặt đường nhựa 11,5m </t>
  </si>
  <si>
    <t>Các thửa đất số 1, 12, 13, 14, 44  tiếp giáp 02 mặt đường (gồm đường nhựa 11,5m và đường nhựa 11,5m)</t>
  </si>
  <si>
    <t>VI</t>
  </si>
  <si>
    <t>Khu đất 05-06 xã Thanh Luông</t>
  </si>
  <si>
    <t>Khu đất giao đất tái định cư dự án đầu tư xây dựng công trình Hồ Huổi Trạng Tai xã Thanh Hưng huyện Điện Biên</t>
  </si>
  <si>
    <t>Các thửa đất từ số 02 đến số 08, từ số 10 đến số 16, từ số 18 đến số 24 tiếp giáp 01 mặt đường bê tông 3,5m</t>
  </si>
  <si>
    <t>Các thửa đất số 01, 09, 17 tiếp giáp 02 mặt đường (gồm: Đường bê tông 3,5m và đường nhựa từ 3 đến dưới 7m)</t>
  </si>
  <si>
    <t>VII</t>
  </si>
  <si>
    <t>Khu đất giao đất tái định cư, giao đất có thu tiền sử dụng đất dự án Xây dựng Thao trường khu vực hướng Tây Quân Khu 2</t>
  </si>
  <si>
    <t xml:space="preserve">Các thửa đất (gồm các thửa số: 1, 2, 4, 5, 6, 7, 9, 10, 11, 12, 13, 16,17, 18, 19, 20) tiếp giáp 01 mặt đường bê tông 4,3m </t>
  </si>
  <si>
    <t>Các thửa đất (gồm các thửa số: 3, 14, 15) tiếp giáp 02 mặt đường là đường bê tông 4,3m và đường bê tông 3m</t>
  </si>
  <si>
    <t>Các thửa đất (gồm các thửa số: 8, 21) tiếp giáp 02 mặt đường là đường bê tông 4,3m và đường bê tông 4,3m</t>
  </si>
  <si>
    <t>2.3. HUYỆN ĐIỆN BIÊN ĐÔNG</t>
  </si>
  <si>
    <t>XÃ PHÌ NHỪ</t>
  </si>
  <si>
    <t>Trung tâm UBND xã Phì Nhừ  hướng đi xã Xa Dung 1km, hướng đi xã Chiềng Sơ 1,5km, hướng đi ngã tư Phì Nhừ 100m (lấy trọn thửa đất)</t>
  </si>
  <si>
    <t xml:space="preserve">Chợ trung tâm cụm xã Suối Lư </t>
  </si>
  <si>
    <t xml:space="preserve"> Chợ trung tâm cụm xã Suối Lư (từ hạt Kiểm lâm đến khu vực Cửa hàng thương nghiệp</t>
  </si>
  <si>
    <t>Chợ trung tâm cụm xã Suối Lư (Từ thửa đất số 34, tờ bản đồ số 187 đến hết thửa đất số 1 tờ bản đồ số 48)</t>
  </si>
  <si>
    <t xml:space="preserve"> Khu vực trục đường chính cầu Suối Lư đến hết Khu quy hoạch trung tâm cụm xã hướng Suối Lư - Phì Nhừ (đầu cầu Suối Lư đến hết thửa số 10 tờ bản đồ 194 đất nhà ông Phạm Quang Hưng)</t>
  </si>
  <si>
    <t>Khu vực còn lại của trung tâm cụm xã theo quy hoạch</t>
  </si>
  <si>
    <t xml:space="preserve">Khu vực ngã tư Phì Nhừ: Hướng đi Phình Giàng 400m, hướng đi Mường Luân 500m, Hướng đi Suối Lư 600m, hướng đi UBND xã 150m </t>
  </si>
  <si>
    <t>Các bản bám trục đường QL12</t>
  </si>
  <si>
    <t>Các vị trí còn lại bám trục đường QL 12</t>
  </si>
  <si>
    <t>Sửa tên đường, đoạn đường để không nhầm lẫn với các mục 2; 3; 5</t>
  </si>
  <si>
    <t>Khu vực bản Na Nghịu từ thửa số 31 tờ bản đồ 214 (ông Lò Văn Hải) đến cầu Pá Vạc (giáp xã Mường Luân)</t>
  </si>
  <si>
    <t>Khu vực bản Na Nghịu từ thửa số 31 tờ bản đồ 214 (ông Lò Văn Hải) đến cầu Pá Vạt (giáp xã Mường Luân)</t>
  </si>
  <si>
    <t>Điều chỉnh tên cầu cho đúng từ cầuPá Vạc sang cầu Pá Vạt</t>
  </si>
  <si>
    <t>Các bản còn lại xa trung tâm xã</t>
  </si>
  <si>
    <t>Các bản còn lại xa trung tâm xã; Đường nhánh và các vị trí còn lại</t>
  </si>
  <si>
    <t>Bổ sung để thực hiện đối với  trường hợp các bản gần trung tâm xã</t>
  </si>
  <si>
    <t>XÃ MƯỜNG LUÂN</t>
  </si>
  <si>
    <t>Từ thửa số 256 tờ bản đồ 143 (Quàng Văn Hợp – Quàng Thị Phương) đến thửa số 52 tờ bản đồ 146 (Quàng Thị Um)</t>
  </si>
  <si>
    <t xml:space="preserve"> Bổ sung để làm rõ (Các vị trí điểm bắt đầu và điểm cuối trùng nhau. Một thửa đất sẽ có 2 giá tại 2 vị trí khác nhau).</t>
  </si>
  <si>
    <t>Từ thửa số 52 tờ bản đồ 146 (Quàng Thị Um) đến thửa số 31 tờ bản đồ 163 (Lò Thị Định hướng đi Luân Giói) đến mốc HIII 099415 (hướng đi Chiềng Sơ)</t>
  </si>
  <si>
    <t>Từ thửa 95 tờ bản đồ 181 (Lò Văn Pan – Lò Thị Hổi) đối diện thửa 42 tờ bản đồ 181 (đất UBND xã) đến thửa 101 tờ bản đồ 182 (Đoàn Văn Năm – Lê Thanh Nga) đối diện thửa 15 tờ bản đồ 182 (Lò Văn Vương – Lò Thị On) bản Pá Vạt ;</t>
  </si>
  <si>
    <t xml:space="preserve"> Từ thửa 95 tờ bản đồ 181 (Lò Văn Pan – Lò Thị Hổi) đối diện thửa 42 tờ bản đồ 181 (đất UBND xã) đến thửa 101 tờ bản đồ 182 (Đoàn Văn Năm – Lê Thanh Nga) </t>
  </si>
  <si>
    <t>Từ thửa 78 tờ bản đồ 56 đến thửa 78 tờ bản đồ 170 (Lường Thị Ninh) đối diện thửa 52 tờ bản đồ 170 (đất UBND xã) bản Na Ca – Na Pục</t>
  </si>
  <si>
    <t>Từ thửa 99 tờ bản đồ 156 đến thửa 78 tờ bản đồ 170 (Lường Thị Ninh) đối diện thửa 52 tờ bản đồ 170 (đất UBND xã) bản Na Ca – Na Pục</t>
  </si>
  <si>
    <t xml:space="preserve">Từ thửa 31 tờ bản đồ 163 (Lò Thị Định) đến giáp xã Luân Giói </t>
  </si>
  <si>
    <t xml:space="preserve">Từ mốc HIII 099415 đến giáp xã Chiềng Sơ </t>
  </si>
  <si>
    <t xml:space="preserve">Các bản còn lại xa trung tâm xã </t>
  </si>
  <si>
    <t>Ngã ba mốc 3X.42 hướng đi Phì Nhừ 1km, hướng đi Mường Luân 3km</t>
  </si>
  <si>
    <t>XÃ KEO LÔM</t>
  </si>
  <si>
    <t xml:space="preserve"> Trung tâm UBND xã (từ đường vào bản Xì Cơ đến hết đất nhà ông Tuần; đường vào bản Trung Sua 500m) </t>
  </si>
  <si>
    <t xml:space="preserve"> Khu vực trục đường chính cầu Suối Lư từ đất nhà bà Trần Thị Hường đến hết đất nhà ông Nguyễn Văn Toàn (từ thửa số 36 tờ bản đồ 124 thửa số 33 tờ bản đồ 124)</t>
  </si>
  <si>
    <t xml:space="preserve"> Khu vực trục đường chính cầu Suối Lư từ đất nhà bà Trần Thị Hường đến hết đất nhà ông Nguyễn Văn Toàn (từ thửa số 1 tờ bản đồ 124 thửa số 53 tờ bản đồ 124)</t>
  </si>
  <si>
    <t xml:space="preserve"> Các bản dọc đường QL 12</t>
  </si>
  <si>
    <t>Bổ sung để làm rõ (Đang trùng với vị trí 2)</t>
  </si>
  <si>
    <t xml:space="preserve">Ngã ba Trại Bò từ thửa đất số 270 tờ bản đồ 20 (Vàng Quốc Minh – Vừ Thị Dợ) hướng đi trung tâm huyện 1 km </t>
  </si>
  <si>
    <t xml:space="preserve">Khu tái định cư bãi Huổi Po </t>
  </si>
  <si>
    <t xml:space="preserve">Đường bê tông có khổ rộng 3 m </t>
  </si>
  <si>
    <t>Bổ sung mới</t>
  </si>
  <si>
    <t xml:space="preserve"> Các bản còn lại xa trung tâm xã</t>
  </si>
  <si>
    <t>XÃ PU NHI</t>
  </si>
  <si>
    <t xml:space="preserve"> Khu vực ngã ba lên UBND xã bám theo đường huyện lộ hướng đi thành phố Điện Biên Phủ 300m, hướng đi bản Pu Nhi hết bản Nậm Ngám A (chân đập) (Lấy trọn thửa)</t>
  </si>
  <si>
    <t xml:space="preserve"> Các bản dọc trục đường huyện lộ </t>
  </si>
  <si>
    <t xml:space="preserve"> Khu vén dân tái định cư</t>
  </si>
  <si>
    <t>- Các lô từ N1 đến N26</t>
  </si>
  <si>
    <t>- Các lô từ N26-1 đến N28-2</t>
  </si>
  <si>
    <t>- Các lô từ N53 đến N70</t>
  </si>
  <si>
    <t>- Các lô từ N34 đến N52</t>
  </si>
  <si>
    <t>Đoạn từ hồ Nậm Ngám đi các bản Sư Lư xã Na Son (tính đến hết đường bê tông thuộc địa phận xã)</t>
  </si>
  <si>
    <t>XÃ LUÂN GIÓI</t>
  </si>
  <si>
    <t xml:space="preserve"> Đoạn Trung tâm UBND xã (bám theo trục đường giao thông liên xã, từ đất nhà ông Tòng Văn Hiên đến ngã ba đi Na Ngua, Pá Khôm)</t>
  </si>
  <si>
    <t xml:space="preserve"> Đoạn Từ nhà ông Tòng Văn Hiên đến giáp xã Mường Luân</t>
  </si>
  <si>
    <t xml:space="preserve"> Ngã 3 đi Na Ngua, Pá Khôm đến cầu bê tông bản Na Ngua - đến cầu Pá Khôm (Nậm Mạt)</t>
  </si>
  <si>
    <t>XÃ CHIỀNG SƠ</t>
  </si>
  <si>
    <t xml:space="preserve"> Đoạn từ trung tâm bản Kéo đi sông Mã, từ trung tâm bản Kéo đi Mường Luân, từ trung tâm bản Kéo đi bản Cang</t>
  </si>
  <si>
    <t xml:space="preserve"> Các bản vùng thấp (bản Pá Nặm A, B, bản Kéo, bản Co Mỵ)</t>
  </si>
  <si>
    <t>Đoạn từ cầu treo vào UBND xã mới, ngã 3 hướng đi xã Phì Nhừ 600m</t>
  </si>
  <si>
    <t xml:space="preserve"> Đoạn đường bê tông từ bản Pá Nặm đi xã Phì Nhừ</t>
  </si>
  <si>
    <t xml:space="preserve"> Đoạn đường bê tông từ bản Pá Nậm đi xã Phì Nhừ</t>
  </si>
  <si>
    <t xml:space="preserve"> XÃ NA SON</t>
  </si>
  <si>
    <t xml:space="preserve"> Trung tâm UBND xã (từ cầu Na Phát đến cổng trường THCS Na Phát, theo đường đi Xa Dung đến hết đất nhà ông Hoàng Bá Hà)</t>
  </si>
  <si>
    <t>Trung tâm UBND xã (Từ cầu Na Phát đến cổng trường THCS Na Phát, theo đường đi Xa Dung đến hết thửa đất số 119 Tờ bản đồ số 99)</t>
  </si>
  <si>
    <t>Sửa đổi, Bổ sung cụ thể số thửa, tờ bản đồ cho phù hợp với thực tế</t>
  </si>
  <si>
    <t xml:space="preserve">Các bản dọc trục đường liên xã </t>
  </si>
  <si>
    <t xml:space="preserve"> Đoạn từ cầu Na Phát đến thửa 294 tờ bản đồ 101 (Lường Văn Lún – Quàng Thị Pâng)</t>
  </si>
  <si>
    <t>Đoạn từ nhà ông Hoàng Bá Hà đến ngầm Huổi Nhóng</t>
  </si>
  <si>
    <t>Tiếp theo thửa đất số 119 Tờ bản đồ số 99 đến ngầm Huổi Nhóng, thửa đất số 4 Tờ bản đồ số 98</t>
  </si>
  <si>
    <t>VIII</t>
  </si>
  <si>
    <t>XÃ XA DUNG</t>
  </si>
  <si>
    <t xml:space="preserve"> Trung tâm UBND xã (bám theo trục đường: đi bản Chóng 600m, đi Phì Nhừ 300m, đi Na Son 500m, lấy trọn thửa đất)</t>
  </si>
  <si>
    <t xml:space="preserve">Đường bê tông có khổ rộng 4 m </t>
  </si>
  <si>
    <t>Các bản dọc trục đường liên xã</t>
  </si>
  <si>
    <t>IX</t>
  </si>
  <si>
    <t xml:space="preserve">XÃ PHÌNH GIÀNG </t>
  </si>
  <si>
    <t xml:space="preserve"> Đường bê tông từ trung tâm UBND xã đến hết đất nhà ông Giàng Nhìa Sùng (vợ Vàng Thị Dếnh) (lấy trọn thửa)</t>
  </si>
  <si>
    <t>Đoạn từ giáp đất ông Giàng Nhìa Sùng (vợ Vàng Thị Dếnh) đến cầu Huổi Có</t>
  </si>
  <si>
    <t>X</t>
  </si>
  <si>
    <t>XÃ HÁNG LÌA</t>
  </si>
  <si>
    <t xml:space="preserve">Trung tâm UBND xã mới đến ngã 3 đường đi Tìa Mùng </t>
  </si>
  <si>
    <t>Đoạn từ trụ sở UBND xã mới sang xã Tìa Dình 1 km</t>
  </si>
  <si>
    <t xml:space="preserve"> Các bản dọc trục đường liên xã</t>
  </si>
  <si>
    <t>XI</t>
  </si>
  <si>
    <t>XÃ TÌA DÌNH</t>
  </si>
  <si>
    <t>Đường nhựa 9,5m</t>
  </si>
  <si>
    <t>Đường nhựa 6,5m</t>
  </si>
  <si>
    <t>Đường nhựa 4 m</t>
  </si>
  <si>
    <t>Trung tâm UBND xã (bám theo trục đường chính bắt đầu từ cổng hàng rào của bản Tìa Dình 1 đến hết cống nước của trạm Y tế xã Tìa Dình)</t>
  </si>
  <si>
    <t>Đoạn từ trục đường chính bắt đầu từ cổng hàng rào của bản Tìa Dình 1 đến hết cống nước của trạm Y tế xã Tìa Dình)</t>
  </si>
  <si>
    <t>Từ ngã 3 Trạm y tế xã Tìa Dình đến khu tái định cư di rời các hộ dân bản Tìa Dình B, C ra khỏi khu sạt lở</t>
  </si>
  <si>
    <t>XII</t>
  </si>
  <si>
    <t>XÃ PÚ HỒNG</t>
  </si>
  <si>
    <t xml:space="preserve"> Trung tâm UBND xã (hướng đi xã Mường Nhà đến hết đất nhà ông Lầu A Chía - Sềnh Thị Xua; hướng đi Phình Giàng 700m)</t>
  </si>
  <si>
    <t>Từ đất nhà ông Lầu A Chía - Sềnh Thị Xua đến hết nhà ông Sùng A Tú - Lầu Thị Mai (cạnh đường lên trạm phát sóng Viettel)</t>
  </si>
  <si>
    <t xml:space="preserve">Ngã 3 rẽ vào trường mầm non, tiểu học, THCS xã Pú Hồng (hướng đi Mường Nhà 200m, hướng đi UBND xã Pú Hồng 200m, hướng đi vào trường 200m); Ngã 3 đi bản Chả B, C (hướng đi UBND Pú Hồng 100m, hướng đi xã Phình Giàng 100m, hướng đi bản Chả B, C 100m); Ngã 3 đi bản Chả A (hướng đi Mường Nhà 50m, hướng đi Phình Giàng 50m); Ngã 3 cầu treo vào các bản Nà Nếnh C (hướng đi UBND xã 100m, hướng đi xã Phình Giàng 30m) </t>
  </si>
  <si>
    <t>XIII</t>
  </si>
  <si>
    <t>XÃ NONG U</t>
  </si>
  <si>
    <t xml:space="preserve"> Trung tâm UBND xã (bán kính 400 m so với trụ sở UBND xã, lấy trọn thửa đất)</t>
  </si>
  <si>
    <t>Đoạn dọc QL 12</t>
  </si>
  <si>
    <t xml:space="preserve"> Bản Tà Té A, B, C, D (Trường tiểu học Tà Té bán kính 150 m so với điểm trường)</t>
  </si>
  <si>
    <t xml:space="preserve">Theo Quyết định số 53/2019/QĐ-UBND ngày 31/12/2019 của UBND tỉnh ban hành bảng giá đất và quy định áp dụng bảng giá đất trên địa bàn tỉnh Điện Biên từ ngày 01/01/2020 đến ngày 31/12/2024 và các Quyết định sửa đổi, bổ sung: Số 30/2021/QĐ-UBND ngày 20/12/2021 của UBND tỉnh </t>
  </si>
  <si>
    <t>Xã Ẳng Nưa</t>
  </si>
  <si>
    <t>Đoạn đường đi Thị trấn Mường Ảng: từ cầu bản Lé đến Mốc 364 (2x.1)</t>
  </si>
  <si>
    <t>Từ ngã ba gia đình nhà Tuấn Hương (qua ngã ba Tin Tốc) đến biên đất trạm y tế xã</t>
  </si>
  <si>
    <t xml:space="preserve">Từ ngã ba gia đình nhà Hà Chung 
(Qua ngã ba Tin Tốc, qua bản Co Hắm, bản Củ) đến cầu bản Lé </t>
  </si>
  <si>
    <t>Gộp đoạn 1.2 và 1.4. Do thay đổi chủ sử dụng , hai đoạn đường có đơn giá bằng nhau và gộp một đoạn đường từ cầu bản Lé đến nga ba Bản Củ ( Vì đoạn đường này là đường nhựa, đường đi bản mới là đường bê tông)</t>
  </si>
  <si>
    <t>Đoạn đường bê tông (Cổng bản văn hóa bản Cang) từ nhà bà Mai (Thi) đến hết biên đất nhà Mạnh Thức</t>
  </si>
  <si>
    <t>Đoạn đường từ bản Củ đến bản Lé (gia đình ông Lò Văn Héo)</t>
  </si>
  <si>
    <t>Đoạn đường đi bản Mới: Từ cầu bản Lé đến hết bản mới (gia đình ông Lò Văn Chỉnh)</t>
  </si>
  <si>
    <t>Đoạn đường đi bản Mới: Từ ngã ba bản Củ đến hết bản Mới ( Gia đình ông Lò Văn Chỉnh)</t>
  </si>
  <si>
    <t>Thay đổi tên đường: Đoạn đường này có hai kết cấu đường khác nhau: đoạn từ cầu bản Lé đến nga ba bản Củ có kết cấu đường nhựa, đoạn từ ngã ba bản Củ đến hết bản Mới có kết cấu đường bê tông nên giá 2 đoạn đường khác nhau. Do đó UBND xã đề nghị cắt đoạn đườngtừ cầu bản Lé đến nga ba bản Củ có kết cấu đường nhựa nối vào đoạn bản Củ</t>
  </si>
  <si>
    <t>Đoạn từ gia đình ông Lù Văn Văn đến ngã ba (gia đình bà Lò Thị Phương bản Bó Mạy)</t>
  </si>
  <si>
    <t>Thay đổi tên: Do thay đổi chủ sử dụng sử dụng đất: tên bà Lò Thi Phương đã thay đổi chỗ ở mới</t>
  </si>
  <si>
    <t>Đoạn từ nhà bà: Lò Thị Phương (bản Bó Mạy) đến giáp ranh giới TT Mường Ảng (biên đất gia đình ông Lò Văn Hom tổ dân phố 3).</t>
  </si>
  <si>
    <t>Thay đổi tên: Do thay đổi chủ sử dụng sử dụng đất: tên bà Lò Thi Phương đã thay đổi chỗ ở mới. Vì đến hết biên đất gia đình ông Nùng Văn Tuyến mới hết ranh giới đất của xã Ẳng Nưa</t>
  </si>
  <si>
    <t>Các bản vùng thấp:</t>
  </si>
  <si>
    <t>1.8.1</t>
  </si>
  <si>
    <t>Ven trục đường dân sinh nội xã (liên bản).</t>
  </si>
  <si>
    <t>1.7.1</t>
  </si>
  <si>
    <t>1.8.2</t>
  </si>
  <si>
    <t>Các vị trí còn lại.</t>
  </si>
  <si>
    <t>1.7.2</t>
  </si>
  <si>
    <t>Các bản vùng cao:</t>
  </si>
  <si>
    <t>1.9.1</t>
  </si>
  <si>
    <t>Ven trục đường dân sinh nội xã (liên bản)</t>
  </si>
  <si>
    <t>1.9.2</t>
  </si>
  <si>
    <t>Các vị trí còn lại</t>
  </si>
  <si>
    <t>Đoạn từ nhà ông: Tòng Văn Tại (bản Bó Mạy) đến giáp ranh giới TT Mường Ảng (sau khu trung tâm hành chính)</t>
  </si>
  <si>
    <t>Xã Ẳng Cang</t>
  </si>
  <si>
    <t>Đoạn đường rẽ vào khu tái định cư bản Hón (TT Mường Ảng) đến hết ranh giới bản Hua Ná.</t>
  </si>
  <si>
    <t>Khu TĐC Bản Mánh Đanh 1</t>
  </si>
  <si>
    <t>2.2.1</t>
  </si>
  <si>
    <t>Đoạn từ biên đất trường Mầm non đến hết biên đất trung tâm sinh hoạt cộng đồng</t>
  </si>
  <si>
    <t>2.2.2</t>
  </si>
  <si>
    <t>Các đoạn đường bê tông còn lại trong khu tái định cư</t>
  </si>
  <si>
    <t>2.2.3</t>
  </si>
  <si>
    <t>Khu đất quy hoạch tái định cư bản Hua Ná</t>
  </si>
  <si>
    <t>2.3.1</t>
  </si>
  <si>
    <t>Ven trục đường dân sinh nội xã (Liên bản).</t>
  </si>
  <si>
    <t>2.3.2</t>
  </si>
  <si>
    <t>2.4.1</t>
  </si>
  <si>
    <t>Ven trục đường dân sinh nội xã (Liên bản)</t>
  </si>
  <si>
    <t>2.4.2</t>
  </si>
  <si>
    <t>Đoạn đường từ ngã ba methadol đến đài tưởng niệm</t>
  </si>
  <si>
    <t>Đoạn đường từ nhà ông Xôm Toạn bản Giảng đến biên đất nhà ông Lả Xoan bản Noong Háng</t>
  </si>
  <si>
    <t>Đoạn đường từ ngã ba nhà ông Lù Văn Hội bản Sáng đến ngã ba nhà ông Lù Văn Ánh bản Huổi Sứa</t>
  </si>
  <si>
    <t>Đoạn đường từ ngã ba nhà ông Lù Văn Hội bản Hón Sáng đến ngã ba nhà ông Lù Văn Ánh bản Huổi Sứa</t>
  </si>
  <si>
    <t>Xã Ẳng Tở</t>
  </si>
  <si>
    <t>3.1.1</t>
  </si>
  <si>
    <t>3.1.2</t>
  </si>
  <si>
    <t>3.2.1</t>
  </si>
  <si>
    <t>3.2.2</t>
  </si>
  <si>
    <t>Đoạn QL 279 từ biên đất gia đình ông Lò Văn Ngoan (Ngoãn) đến ranh giới hành chính 364 (Ẳng Tở TT Mường Ảng)</t>
  </si>
  <si>
    <t>Đoạn đường QL 279 từ biên đất gia đình bà Lò Thị Ín (bản Bua) đến biên đất trụ sở xã Ẳng Tở.</t>
  </si>
  <si>
    <t>3.4.1</t>
  </si>
  <si>
    <t>Đoạn đường QL 279 từ biên đất gia đình bà Lò Thị Ín (bản Bua 2) đến đường rẽ vào trường THCS bản Bua (Đối diện từ biên đất gia đình bà Đinh Thị Mây)</t>
  </si>
  <si>
    <t>3.4.2</t>
  </si>
  <si>
    <t>Đoạn đường QL 279 từ đường rẽ vào trường THCS bản Bua (Đối diện từ biên đất gia đình bà Đinh Thị Mây) đến hết biên đất gia đình ông Cần Mẫn (Đối diện hết đường rẽ vào Trạm Y tế xã)</t>
  </si>
  <si>
    <t>3.4.3</t>
  </si>
  <si>
    <t>Đoạn từ biên đất gia đình ông Cần Mẫn (Đối diện hết biên đất đường rẽ vào Trạm Y tế xã) đến hết biên đất trụ sở xã (Đối diện hết biên đất gia đình nhà ông Trường Loan)</t>
  </si>
  <si>
    <t>3.4.4</t>
  </si>
  <si>
    <t>Đoạn từ QL 279 đến hết biên đất nhà ông Lò Văn Thi (Mến) bản Tọ</t>
  </si>
  <si>
    <t>3.4.5</t>
  </si>
  <si>
    <t>Đoạn từ biên đất nhà ông Lò Văn Thi (Mến) Bản Tọ đến giáp ranh xã Ngối Cáy</t>
  </si>
  <si>
    <t>3.4.6</t>
  </si>
  <si>
    <t>Đoạn từ QL 279 (Km34 500) đến hết biên đất Khu đồi tăng</t>
  </si>
  <si>
    <t>Xã Búng Lao</t>
  </si>
  <si>
    <t>Đoạn đường QL 279 trung tâm xã Búng Lao: Từ đầu cầu bản Bó đến đầu cầu treo bản Búng</t>
  </si>
  <si>
    <t>4.1.1</t>
  </si>
  <si>
    <t>Đoạn đường từ đầu cầu bản Bó đến biên đất gia đình ông Phấn (đối diện hết biên đất gia đình ông Ngô Viết Hanh)</t>
  </si>
  <si>
    <t>Có 3 HĐCN</t>
  </si>
  <si>
    <t>4.1.2</t>
  </si>
  <si>
    <t>Đoạn đường từ đất gia đình ông Phấn đến đường rẽ vào bản Xuân Tre</t>
  </si>
  <si>
    <t>Đoạn đường từ đất gia đình ông Phấn đến hết đất nhà Hương Thọ (quán bán nước)</t>
  </si>
  <si>
    <t>4.1.3</t>
  </si>
  <si>
    <t>Đoạn từ đường rẽ vào bản Xuân Tre đến hết đất gia đình ông Doan Linh (Đối diện trạm bơm nước)</t>
  </si>
  <si>
    <t xml:space="preserve">Do ông Doan đã chết </t>
  </si>
  <si>
    <t>4.1.4</t>
  </si>
  <si>
    <t>Từ trạm bơm đến đầu cầu treo bản Búng.</t>
  </si>
  <si>
    <t>4.1.5</t>
  </si>
  <si>
    <t>Từ biên đất nhà ông Lò Văn Tưởng đến đầu cầu treo bản Búng</t>
  </si>
  <si>
    <t>Từ đầu cầu treo bản Búng đến hết quán cây Keo</t>
  </si>
  <si>
    <t>Thay đổi tên</t>
  </si>
  <si>
    <t>Đoạn đường liên bản từ đầu cầu bản Búng (gia đình ông Lò Văn Phương Bắc) đến hết sân vận động cũ được chia thành 03 đoạn nhỏ</t>
  </si>
  <si>
    <t>4.2.1</t>
  </si>
  <si>
    <t>Đoạn đường liên bản từ đầu cầu bản Búng (gia đình ông Lò Văn Phương Bắc) đến hết đất gia đình ông Lò Văn Bang (bản Búng)</t>
  </si>
  <si>
    <t>4.2.2</t>
  </si>
  <si>
    <t>Đoạn đường từ nhà ông Lò Văn Bang đến hết đất gia đình ông Lò Văn Nuôi (bản Xuân Món)</t>
  </si>
  <si>
    <t>4.2.3</t>
  </si>
  <si>
    <t>Đoạn từ nhà ông Lò Văn Nuôi (bản Xuân Món) đến hết đất sân vận động cũ</t>
  </si>
  <si>
    <t>Đoạn từ đầu cầu bản Búng đến hết đất gia đình ông Lò Văn Thận</t>
  </si>
  <si>
    <t>Đoạn đường từ đất của gia đình ông Tòng Văn Hưng đến hết đất nhà ông Quàng Văn Ăm (bản Nà Lấu)</t>
  </si>
  <si>
    <t>Đoạn nhà ông Lò Văn Thận đến hết đất ông Lò Văn Nọi</t>
  </si>
  <si>
    <t>Đoạn từ ngã ba cầu bản Búng: Từ biên đất nhà ông Lò Văn Tới đến hết đất gia đình ông Tòng Văn Xôm</t>
  </si>
  <si>
    <t>Từ ngã tư đầu cầu treo bản Búng: Từ biên đất nhà ông Lường Văn Ộ đến hết đất gia đình ông Tòng Văn Xôm.</t>
  </si>
  <si>
    <t>Đoạn từ đầu cầu bản Nà Dên đến hết bản Nà Dên</t>
  </si>
  <si>
    <t>Đoạn từ Cầu bản Hồng Sọt đến mốc 364 (Búng Lao Ẳng Tở)</t>
  </si>
  <si>
    <t>Đoạn đường bê tông đi Xuân Tre đến ngã ba nhà ông Lò Văn Doan</t>
  </si>
  <si>
    <t>Đoạn từ biên đất nhà ông Lò Văn Doan đến đường vào khu thể thao xã Búng Lao</t>
  </si>
  <si>
    <t>4.10</t>
  </si>
  <si>
    <t>Đoạn từ nhà ông Quàng Văn Sinh đến hết đất ông Lò Văn Kiêm (bản Xuân Tre)</t>
  </si>
  <si>
    <t>4.11</t>
  </si>
  <si>
    <t>Đoạn đường từ nhà ông Lường Văn Phận đến hết đất ông Lường Văn Thuận (bản Xuân Tre)</t>
  </si>
  <si>
    <t>4.12</t>
  </si>
  <si>
    <t>Đoạn đường từ nhà hàng Hiển Lan đến đường vào Khu thể thao xã Búng Lao (bản Co Nỏng)</t>
  </si>
  <si>
    <t>4.13</t>
  </si>
  <si>
    <t>Từ nhà Quàng Văn Tạm đến đất nhà ông Lò Văn Ỏ</t>
  </si>
  <si>
    <t>4.14</t>
  </si>
  <si>
    <t>-</t>
  </si>
  <si>
    <t>4.15</t>
  </si>
  <si>
    <t>Xã Xuân Lao</t>
  </si>
  <si>
    <t>Đoạn đường liên xã từ đầu cầu số 1 đến đầu cầu số 2</t>
  </si>
  <si>
    <t>Đoạn từ cầu số 2 đến hết bản Pí</t>
  </si>
  <si>
    <t>Đoạn từ đầu cầu số 1 đến hết bản Co Hịa</t>
  </si>
  <si>
    <t>Đường bê tông từ nhà ông Lò Văn Lún (Thành) (bản Pá Lạn) đến đầu cầu số 1 (bản Pá Lạn)</t>
  </si>
  <si>
    <t>Xã Mường Lạn</t>
  </si>
  <si>
    <t>Từ biên đất gia đình ông Tòng Văn Trưởng bản Bon đi qua trung tâm xã đến hết đất gia đình ông Chơi Tuấn bản Lạn</t>
  </si>
  <si>
    <t>Xã Nặm Lịch</t>
  </si>
  <si>
    <t>Đoạn từ biên đất gia đình ông Quàng Văn Học bản Lịch Cang đến hết đất gia đình ông Lò Văn Hùng bản Ten.</t>
  </si>
  <si>
    <t>7.1a</t>
  </si>
  <si>
    <t>Đường nhựa từ ngã 3 bản Pú Súa, xã Ẳng Cang đến hết biên đất gia đình ông Lò Văn Dong bản Ten, xã Nặm Lịch</t>
  </si>
  <si>
    <t>7.1b</t>
  </si>
  <si>
    <t>Đoạn đường bê tông từ ngã 3 nhà ông Lò Văn Chủ, bản Lịch Cang, xã Nặm Lịch đến bản Pá Nặm, xã Mường Lạn</t>
  </si>
  <si>
    <t>Ven trục đường dân sinh nội xã (Liên xã).</t>
  </si>
  <si>
    <t>Xã Mường Đăng</t>
  </si>
  <si>
    <t>Đoạn từ trường THCS đến hết bản Ban</t>
  </si>
  <si>
    <t>Đoạn từ đỉnh đèo Tằng Quái (Nhà ông Nguyễn Hải Đường) đến trung tâm bản Xôm</t>
  </si>
  <si>
    <t>Ven trục đường dân sinh nội xã (Liên xã)</t>
  </si>
  <si>
    <t>Xã Ngối Cáy</t>
  </si>
  <si>
    <t>Trung tâm xã đến cầu treo bản Cáy</t>
  </si>
  <si>
    <t>Toàn bộ các bản còn lại dọc theo trục đường QL 279</t>
  </si>
  <si>
    <t>TRUNG TÂM PHÁT TRIỂN QUỸ ĐẤT</t>
  </si>
  <si>
    <t>Giá đất theo Quyết định số 36/2014/QĐ-UBND ngày 27/12/2014 của UBND tỉnh Điện Biên</t>
  </si>
  <si>
    <t>TÊN XÃ</t>
  </si>
  <si>
    <t>Xã Quài Cang</t>
  </si>
  <si>
    <t>Quốc lộ 6A</t>
  </si>
  <si>
    <t>Đoạn đường bắt đầu từ địa phận đất Quài Cang đi về phía Mường Lay đến cầu bản Sái</t>
  </si>
  <si>
    <t>Bổ sung thêm đoạn đường cho phù hợp với thực tế</t>
  </si>
  <si>
    <t xml:space="preserve">Từ cầu bản Sái đến đất nhà Lan Hà </t>
  </si>
  <si>
    <t>Từ cầu bản Sái đến đất nhà ông Thông</t>
  </si>
  <si>
    <t>Sửa tên đoạn đường cho phù hợp với thực tế</t>
  </si>
  <si>
    <t>Đoạn đường từ QL6 đến kênh Long Tấu</t>
  </si>
  <si>
    <t>Từ đất nhà Lan Hà đến cổng  trường Mầm Non Quài Cang</t>
  </si>
  <si>
    <t>Đoạn đường từ trường Mầm non Quài Cang đến nhà ông Tiêng bản Cón</t>
  </si>
  <si>
    <t>Từ nhà ông Tiêng bản Cón đến nhà ông Thi bản Cón</t>
  </si>
  <si>
    <t>Các bản: Ten Cá, bản Cong, bản Khá, bản Phủ, bản Phung, bản Hán, bản Cuông</t>
  </si>
  <si>
    <t>Các bản: Ten Cá, bản Cong, bản Khá, bản Phủ, bản Phung, bản Hán, bản Cuông, bản Trạng</t>
  </si>
  <si>
    <t>Các bản còn lại</t>
  </si>
  <si>
    <t>Đoạn từ QL6 đến nhà ông Hùng bản Cản (đoạn rẽ đi bản Phủ) - xã Quài Cang</t>
  </si>
  <si>
    <t>Xã Quài Nưa</t>
  </si>
  <si>
    <t>Từ ngầm tràn đến hết đất trụ sở UBND xã đối diện bên kia đến đất nhà ông Thân</t>
  </si>
  <si>
    <t>Từ ngầm tràn đến hết đất trụ sở UBND xã cũ đối diện bên kia đến đất nhà ông Thân</t>
  </si>
  <si>
    <t>Từ đất nhà ông Thân đối diện là hết đất trụ sở UBND xã đến hết ngã ba Minh Thắng</t>
  </si>
  <si>
    <t>Từ ngã ba Minh Thắng đến hết nhà bà Bé ông Thuần (đường Pú Nhung)</t>
  </si>
  <si>
    <t>Từ ngã ba Minh Thắng đến hết nhà bà Thu Tịnh, ông Luân (đường QL 6A)</t>
  </si>
  <si>
    <t>Từ nhà ông Hậu đến hết nhà ông Hải (đường Minh Thắng- Pú Nhung)</t>
  </si>
  <si>
    <t>Từ cây xăng, giáp nhà ông Luân đến hết trường mầm non xã Quài Nưa</t>
  </si>
  <si>
    <t>Bản Ma Khúa</t>
  </si>
  <si>
    <t>Xã Quài Tở</t>
  </si>
  <si>
    <t>Quốc lộ 6A đi Hà Nội</t>
  </si>
  <si>
    <t>Bắt đầu từ địa phận đất Quài Tở đi về phía Hà Nội đến nhà ông Huê giáp khe Huổi Lướng</t>
  </si>
  <si>
    <t>Từ nhà ông Huê giáp khe suối Huổi Lướng đến hết nhà ông Lả (Trạm điện 110)</t>
  </si>
  <si>
    <t>Từ nhà ông Lả, trạm điện 110, đến trung tâm xã Quài Tở</t>
  </si>
  <si>
    <t>Từ nhà ông Lả (đối diện trạm điện 110) đến trụ sở UBND xã cũ (đối diện hết đất nhà ông Lò Văn Toàn)</t>
  </si>
  <si>
    <t>Tách đoạn: Từ nhà ông Lả, trạm điện 110, đến trung tâm xã Quài Tở thành 2 đoạn và điều chỉnh tên đoạn cho phù hợp với thực tế</t>
  </si>
  <si>
    <t>Từ trụ sở UBND xã cũ (đối diện hết đất nhà ông Lò Văn Toàn) đến hết đất nhà ông Lò Văn Tuân (đối diện là nhà ông Lò Văn Đướm)</t>
  </si>
  <si>
    <t>Quốc lộ 6 rẽ lên nghĩa trang mới đến lò gạch ông Tài + QL 6 từ sau nhà ông Tíu, bà Thanh đến lò gạch</t>
  </si>
  <si>
    <t>Quốc lộ 6 rẽ lên nghĩa trang mới đến sân bóng, đến nhà ông Vui Nga (đối diện là nhà bà Thanh)</t>
  </si>
  <si>
    <t>Các bản: Hua Ca, bản Hới 1, bản Hới 2, bản Món, bản Hua Ca, bản Có</t>
  </si>
  <si>
    <t>Các bản: Hua Ca, bản Hới 1, bản Hới 2, bản Món, bản Có, bản Đứa</t>
  </si>
  <si>
    <t xml:space="preserve">Bản Thẳm Pao </t>
  </si>
  <si>
    <t>Xã Mùn Chung</t>
  </si>
  <si>
    <t>Từ ngã ba Huổi Lóng đến: cầu Mùn Chung đi Tủa Chùa; cống qua đường về phía Tuần Giáo; Biển thị tứ đường đi Mường Lay</t>
  </si>
  <si>
    <t>Đường vào trường cấp III Mùn Chung</t>
  </si>
  <si>
    <t>Đoạn đường từ cống qua đường về phía Tuần Giáo đến chân đèo</t>
  </si>
  <si>
    <t>Từ cầu Huổi Lóng đến hết nhà ông Giót bản Huổi Lóng (đường đi Tủa Chùa)</t>
  </si>
  <si>
    <t>Các bản: Huổi Cáy, Co Sản</t>
  </si>
  <si>
    <t>Xã Nà Tòng</t>
  </si>
  <si>
    <t>Từ ngã ba rẽ vào trụ sở UBND xã bán kính 200m</t>
  </si>
  <si>
    <t>Các bản: Nậm Bay, Pá Tong, Nà Tòng, Pa Cá</t>
  </si>
  <si>
    <t>Xã Pú Nhung</t>
  </si>
  <si>
    <t>Trung tâm xã (bán kính 200m)</t>
  </si>
  <si>
    <t>Các bản: Tênh Lá , Trung Dình</t>
  </si>
  <si>
    <t>Các bản: Tênh Lá, Trung Dình</t>
  </si>
  <si>
    <t>Xã Mường Mùn</t>
  </si>
  <si>
    <t>Từ ngã ba đến nhà ông Chính đường đi Mường Lay, từ ngã ba đến cổng trụ sở xã, từ ngã ba đến cầu Mường Mùn</t>
  </si>
  <si>
    <t>Từ cầu Mường Mùn đi Tuần Giáo đến nhà ông Hướng ông Huỳnh</t>
  </si>
  <si>
    <t>Từ giáp nhà ông Chính đến hết nhà ông Điêu Chính Chếnh đi Mường Lay</t>
  </si>
  <si>
    <t>Từ ngã ba Mường Mùn đến bản Hồng Phong</t>
  </si>
  <si>
    <t>Các bản: Pú Piến, Gia Bọp</t>
  </si>
  <si>
    <t>Các bản: Pú Piến, Gia Bọp, Huổi Cáy 2</t>
  </si>
  <si>
    <t>Chỉnh sửa tên đoạn cho phù hợp với thực tế</t>
  </si>
  <si>
    <t>Xã Chiềng Sinh</t>
  </si>
  <si>
    <t>Quốc lộ 279: Đoạn từ cầu treo bản Hiệu đến cổng trường PTTHCS Chiềng Sinh</t>
  </si>
  <si>
    <t>Quốc lộ 279: Đoạn từ cầu treo bản Hiệu đến địa phận xã Chiềng Đông</t>
  </si>
  <si>
    <t>Quốc lộ 279: Đoạn từ cầu treo bản Hiệu đến bản Chiềng An (đi về phía huyện Tuần Giáo)</t>
  </si>
  <si>
    <t>Các bản: Bản Dửn, bản Hiệu 1, bản Hiệu 2, Pa Sát</t>
  </si>
  <si>
    <t>Các bản: Bản Dửn, bản Hiệu 1, bản Hiệu 2, Pa Sát, bản Xôm</t>
  </si>
  <si>
    <t>Các bản vùng còn lại</t>
  </si>
  <si>
    <t>Xã Chiềng Đông</t>
  </si>
  <si>
    <t xml:space="preserve">Quốc lộ 279: Đoạn đường từ cầu bản Bó qua UBND xã đi về phía xã Chiềng Sinh 350 m (lấy trọn thửa đất) </t>
  </si>
  <si>
    <t>Các bản: Hua Nạ, Hua Chăn</t>
  </si>
  <si>
    <t>Xã Nà Sáy</t>
  </si>
  <si>
    <t>Từ nhà bà Dương đến hết nhà ông Ửng Cương (đường đi Mường Thín); Đoạn từ sau nhà ông Diên đến hết nhà ông Ơn Minh (đường Nà Sáy - bản Khong)</t>
  </si>
  <si>
    <t xml:space="preserve">Bản Nậm Cá </t>
  </si>
  <si>
    <t>Xã Mường Khong</t>
  </si>
  <si>
    <t>Trung tâm xã vùng thấp (bán kính 100m)</t>
  </si>
  <si>
    <t>Các bản: Hua Sát, Huổi Nôm</t>
  </si>
  <si>
    <t>Xã Rạng Đông</t>
  </si>
  <si>
    <t xml:space="preserve">Từ đất nhà ông Laị Cao Mạ đối diện là nhà ông Phạm Cao Lương đến UBND xã </t>
  </si>
  <si>
    <t xml:space="preserve">Từ đất nhà ông Lại Cao Mạ đối diện là nhà ông Phạm Cao Lương đến UBND xã </t>
  </si>
  <si>
    <t>Các bản: Xá Nhè, Hang Á</t>
  </si>
  <si>
    <t>Xã Mường Thín</t>
  </si>
  <si>
    <t>Từ cầu đến hết đất nhà ông Lường Văn Hương ( đi về phía xã Nà Sáy)</t>
  </si>
  <si>
    <t>Đoạn từ nhà ông Lò Văn Khoán bản Thín A đến nhà ông Lường Văn Hải bản Khai Hoang.</t>
  </si>
  <si>
    <t>Bản Thẳm Xả</t>
  </si>
  <si>
    <t>XIV</t>
  </si>
  <si>
    <t>Xã Tỏa Tình</t>
  </si>
  <si>
    <t>Đoạn đường từ ngã ba đường cũ, đường mới đến hết địa phận Tuần Giáo hướng đi về phía Hà Nội</t>
  </si>
  <si>
    <t>Trung tâm xã (bán kính 200 m)</t>
  </si>
  <si>
    <t>Các bản: Háng Tàu, Tỏa Tình</t>
  </si>
  <si>
    <t>XV</t>
  </si>
  <si>
    <t>Trung tâm 4 xã vùng cao bán kính 100m gồm các xã: Pú Xi, Tênh Phông, Ta Ma, Phình Sáng</t>
  </si>
  <si>
    <t>4 xã còn lại: Pú Xi, Tênh Phông, Ta Ma, Phình Sáng</t>
  </si>
  <si>
    <t>Các bản còn lại.</t>
  </si>
  <si>
    <t>XVI</t>
  </si>
  <si>
    <t>Các bản ven trục đường Quốc lộ, Tỉnh lộ xa trung tâm xã trên địa bàn huyện</t>
  </si>
  <si>
    <t>Trục đường 39m</t>
  </si>
  <si>
    <t>Trục đường 36m</t>
  </si>
  <si>
    <t>Trục đường 32m: Đoạn tiếp giáp từ Quốc lộ 4H đến ngã 4 UBND huyện Mường Nhé</t>
  </si>
  <si>
    <t>Trục đường 32m: Đoạn từ ngã 4 UBND huyện Mường Nhé đến giáp Quốc lộ 4H (Viện kiểm sát huyện Mường Nhé)</t>
  </si>
  <si>
    <t>Trục đường 32m: Đoạn từ ngã 4 UBND huyện Mường Nhé đến cầu Nà Pán</t>
  </si>
  <si>
    <t>Trục đường 18m: Đoạn từ ngã 4 giao với trục 32m (Trung tâm Hội nghị huyện Mường Nhé) đến ngã 4 hết đất nhà ông Cao Như Thành</t>
  </si>
  <si>
    <t>Các trục đường 18m còn lại</t>
  </si>
  <si>
    <t>Trục đường 15m: Đoạn từ ngã 3 sân bóng đến hết nhà văn hóa tổ 2</t>
  </si>
  <si>
    <t>Trục đường 15m: Đoạn từ ngã 3 sân vận động đến hết nhà văn hóa tổ 2</t>
  </si>
  <si>
    <t>Trục đường 15m: Đoạn từ ngã 3 đường 18m đến ngã 3 giao với trục đường 15m (Tượng đài - UBND xã Mường Nhé)</t>
  </si>
  <si>
    <t>Các trục đường 15m còn lại</t>
  </si>
  <si>
    <t xml:space="preserve">Trục đường 13m </t>
  </si>
  <si>
    <t>Trục đường 10,5m (Đường bê tông)</t>
  </si>
  <si>
    <t>Đường Quốc lộ 4H: Đoạn từ ranh giới xã Mường Toong với xã Mường Nhé đến ranh giới bản Huổi Ban</t>
  </si>
  <si>
    <t>Đường Quốc lộ 4H: Đoạn từ ranh giới xã Mường Toong với xã Mường Nhé đến cầu bê tông bản Co Lót (giáp đường vào bản Huổi Ban)</t>
  </si>
  <si>
    <t>Đường Quốc lộ 4H: Đoạn từ bản Huổi Ban đến khe suối giáp nhà Ông Giàng A Páo (thửa 39 tờ bản đồ 172)</t>
  </si>
  <si>
    <t>Đường Quốc lộ 4H: Đoạn từ cầu bê tông bản Co Lót (giáp đường vào bản Huổi Ban) đến khe suối giáp nhà Ông Giàng A Páo (thửa 39, tờ bản đồ 172)</t>
  </si>
  <si>
    <t>Đường Quốc lộ 4H: Đoạn từ thửa 39 tờ bản đồ 172 (Nhà ông Giàng A Páo) đến cầu Nậm Pố</t>
  </si>
  <si>
    <t>Đường Quốc lộ 4H: Đoạn từ cầu Nậm Pố đến Cầu bê tông (hết thửa 110 tờ bản đồ 130)</t>
  </si>
  <si>
    <t xml:space="preserve">Đường Quốc lộ 4H: Đoạn từ cầu bê tông (nhà ông Phạm Văn Thư thửa 112 tờ bản đồ 130) đến đầu đường 32m </t>
  </si>
  <si>
    <t>Đường Quốc lộ 4H: Đoạn tiếp từ đường 32m (Viện kiểm sát huyện Mường Nhé) đến khu vườn ươm bảo tồn thiên nhiên Mường Nhé</t>
  </si>
  <si>
    <t>Đường Quốc lộ 4H: Đoạn tiếp từ đường 32m (Bảo hiểm huyện Mường Nhé) đến thửa đất bà Mùa Thị Mỵ (Thửa 31, tờ bản đồ 98)</t>
  </si>
  <si>
    <t>Đường Quốc lộ 4H: Đoạn từ vườn ươm bảo tồn thiên nhiên Mường Nhé đến giáp đất nhà bà Trần Thị Vinh (Thửa 37 tờ bản đồ 86)</t>
  </si>
  <si>
    <t>Đường Quốc lộ 4H: Đoạn từ thửa đất bà Mùa Thị Mỵ (Thửa 31, tờ bản đồ 98) đến giáp đất nhà bà Trần Thị Vinh (Thửa 37, tờ bản đồ 86)</t>
  </si>
  <si>
    <t>Đường QL 4H: Đoạn từ nhà bà Trần Thị Vinh (Thửa 37 tờ bản đồ 86) đến ranh giới xã Chung Chải</t>
  </si>
  <si>
    <t>Đường liên bản: Đoạn từ ngã tư Viện kiểm sát đến thửa 205 tờ bản đồ 105 (bản Nà Pán) đường đi đồn biên phòng Mường Nhé</t>
  </si>
  <si>
    <t>Đường liên bản: Đoạn từ cầu Nà Pán đến thửa 205 tờ bản đồ 105 (bản Nà Pán) đường đi đồn Biên phòng Mường Nhé</t>
  </si>
  <si>
    <t xml:space="preserve"> Các đoạn đường còn lại bản Nà Pán</t>
  </si>
  <si>
    <t>Các bản gần trung tâm huyện: Bản Mường Nhé, Bản Mường Nhé Mới</t>
  </si>
  <si>
    <t>Các đường liên thôn bản còn lại</t>
  </si>
  <si>
    <t>Đường Quốc lộ 4H: Đoạn từ ranh giới giáp xã Pa Tần đến hết ranh giới bản Quảng Lâm, bản Trạm Búng</t>
  </si>
  <si>
    <t>Đường Quốc lộ 4H: Đoạn từ ranh giới giáp xã Pa Tần đến hết ranh giới bản Quảng Lâm, bản Trạm Púng</t>
  </si>
  <si>
    <t>Đổi tên trong QĐ 30</t>
  </si>
  <si>
    <t>Đường Quốc lộ 4H: Đoạn từ ranh giới bản Trạm Búng đến cây xăng Phú Vui</t>
  </si>
  <si>
    <t>Đường Quốc lộ 4H: Đoạn từ ranh giới bản Trạm Púng đến cây xăng Phú Vui</t>
  </si>
  <si>
    <t>Đường Quốc lộ 4H: Đoạn từ cây xăng Phú Vui đến hết ranh giới xã Quảng Lâm</t>
  </si>
  <si>
    <t>Đường liên xã: Đoạn từ ngã 3 UBND xã Quảng Lâm đến hết ranh giới bản Đền Thàng</t>
  </si>
  <si>
    <t>Đường liên xã: Đoạn từ ngã 3 UBND xã Quảng Lâm đến hết ranh giới bản Dền Thàng</t>
  </si>
  <si>
    <t>Đường liên xã: Đoạn từ ranh giới bản Đền Thàng đến hết ranh giới xã Quảng Lâm</t>
  </si>
  <si>
    <t>Đường liên xã: Đoạn từ ranh giới bản Dền Thàng đến hết ranh giới xã Quảng Lâm</t>
  </si>
  <si>
    <t>Đường Quốc lộ 4H: Đoạn từ ranh giới giáp xã Quảng Lâm đến Đội cao su Nậm Kè</t>
  </si>
  <si>
    <t>Đường Quốc lộ 4H: Đoạn từ Đội cao su Nậm Kè đến Khe suối bản Phiêng Vai</t>
  </si>
  <si>
    <t>Đường Quốc lộ 4H:  Đoạn từ khe suối bản Phiêng Vai đến cầu Nậm Nhé</t>
  </si>
  <si>
    <t>Đường Quốc lộ 4H: - Đoạn từ cầu Nậm Nhé đến ranh giới giáp xã Mường Toong (Cầu Nậm Nhé 2)</t>
  </si>
  <si>
    <t>Đường Quốc lộ 4H: - Đoạn từ cầu Nậm Kè đến ranh giới giáp xã Mường Toong (Cầu Nậm Nhé 2)</t>
  </si>
  <si>
    <t>Các đường nội, liên thôn bản còn lại</t>
  </si>
  <si>
    <t>Đường Quốc lộ 4H: Đoạn ranh giới giáp xã Nậm Kè (Cầu Nậm Nhé 2) đến nhà ông Nguyễn Văn Dũng (Thửa 79 tờ bản đồ 159)</t>
  </si>
  <si>
    <t>Đường Quốc lộ 4H: Đoạn ranh giới giáp xã Nậm Kè (Cầu Nậm Nhé 3) đến nhà ông Nguyễn Văn Dũng (Thửa 79 tờ bản đồ 159)</t>
  </si>
  <si>
    <t>Đường Quốc lộ 4H: Đoạn từ nhà ông Nguyễn Văn Dũng (Thửa 79 tờ bản đồ 159) đến cầu Mường Toong (Khu trung tâm xã)</t>
  </si>
  <si>
    <t>Đường QL 4H: Đoạn từ Cầu Mường Toong đến ranh giới giáp xã Mường Nhé</t>
  </si>
  <si>
    <t>Đường ngã ba Mường Toong đi trung tâm xã Nậm Vì</t>
  </si>
  <si>
    <t>Đường liên xã Mường Toong vào xã Huổi Lếch</t>
  </si>
  <si>
    <t xml:space="preserve">Đường vào xã Pá Mỳ: Từ QL 4H đến ranh giới xã Mường Toong - xã Nậm Kè </t>
  </si>
  <si>
    <t>Các đường nội liên thôn bản còn lại</t>
  </si>
  <si>
    <t>Trung tâm xã : Bản Pá Mỳ 1</t>
  </si>
  <si>
    <t>Các bản Pá Mỳ 2, Pá Mỳ 3, Huổi Lụ 2, Huổi Pết, Huổi Mý 1</t>
  </si>
  <si>
    <t>Các bản Pá Mỳ 2, Pá Mỳ 3, Huổi Lụ 2, Huổi Pết, Huổi Lích 1, Huổi Lích 2</t>
  </si>
  <si>
    <t>Các bản Tàng Phong, Huổi Lụ 1, Huổi Lụ 3, Huổi Mý 2</t>
  </si>
  <si>
    <t>Các bản Tàng Phon, Huổi Lụ 1, Huổi Lụ 3</t>
  </si>
  <si>
    <t>Trung tâm xã : Bản Huổi Lếch</t>
  </si>
  <si>
    <t>Các bản Nậm Pán 2, Cây Sặt, Nậm Mỳ 1, Nậm Mỳ 2</t>
  </si>
  <si>
    <t>Các bản Nậm Pan 2, Cây Sặt, Nậm Mỳ 1, Nậm Mỳ 2</t>
  </si>
  <si>
    <t>Các bản Nậm Hính 1, Nậm Hính 2</t>
  </si>
  <si>
    <t>Bản Pa Tết</t>
  </si>
  <si>
    <t>Trung tâm xã : Bản Nậm Vì</t>
  </si>
  <si>
    <t>Các bản Vang Hồ, Huổi Lúm, Huổi Chạ 1, Huổi Chạ 2</t>
  </si>
  <si>
    <t>Các bản Huổi Cấu, Cây Sổ</t>
  </si>
  <si>
    <t>Quốc lộ 4H: Đoạn từ ranh giới giáp xã Mường Nhé đến đầu bản Đoàn Kết</t>
  </si>
  <si>
    <t>Quốc lộ 4H: Đoạn từ đầu bản Đoàn Kết đến hết ranh giới Bản Đoàn Kết giáp với bản Cây Muỗm (Trung tâm xã)</t>
  </si>
  <si>
    <t>Quốc lộ 4H: Đoạn từ đầu bản Cây Muỗm đến hết ranh giới xã Chung Chải</t>
  </si>
  <si>
    <t>Quốc lộ 4H2: Đoạn từ cầu Đoàn Kết đến hết ranh giới xã Chung Chải</t>
  </si>
  <si>
    <t>Quốc lộ 4H2: Đoạn từ ranh giới giáp xã Chung Chải đến cầu Suối Voi</t>
  </si>
  <si>
    <t>Quốc lộ 4H2: Đoạn từ cầu Suối Voi đến hết ranh giới bản Suối Voi (Trung tâm xã)</t>
  </si>
  <si>
    <t xml:space="preserve">Quốc lộ 4H2: Đoạn từ đầu ranh giới bản Leng Su Sìn đến hết ranh giới xã </t>
  </si>
  <si>
    <t>Trung tâm xã : Bản Sen Thượng</t>
  </si>
  <si>
    <t>100</t>
  </si>
  <si>
    <t>Các bản Long San, Tá Khoa Pá, Pa Ma, Chiếu Sừng, Tà Ló San</t>
  </si>
  <si>
    <t>Bản Lò San Chái</t>
  </si>
  <si>
    <t>Quốc lộ 4H2: Đoạn từ ranh giới giáp xã Leng Su Sìn đến trạm quản lý đường bộ 1 (Cung 24 quốc lộ 4H2)</t>
  </si>
  <si>
    <t>Quốc lộ 4H2: Trạm quản lý đường bộ 1 (Cung 24 quốc lộ 4H2) đến nhà Ông Pờ Dần Sinh</t>
  </si>
  <si>
    <t>Quốc lộ 4H2: Đoạn từ giáp đất ông Pờ Dần Sinh đến hết bản Tá Miếu (Cầu bê tông)</t>
  </si>
  <si>
    <t xml:space="preserve">Quốc lộ 4H2: Đoạn từ cầu bê tông (bản Tả Miếu) đến trạm kiểm soát biên phòng A Pa Chải </t>
  </si>
  <si>
    <t xml:space="preserve">Ghi Chú </t>
  </si>
  <si>
    <t>Xã Mường Mươn</t>
  </si>
  <si>
    <t>Đường QL12 đoạn từ ranh giới xã Mường Pồn huyện Điện Biên đến hết ranh giới bản Púng Giắt 1;</t>
  </si>
  <si>
    <t>Đường QL 12 đoạn từ ranh giới bản Púng Giắt 1 đến hết ranh giới giáp xã Na Sang;</t>
  </si>
  <si>
    <t>Các trục đường liên thôn, liên bản;</t>
  </si>
  <si>
    <t>Xã Na Sang</t>
  </si>
  <si>
    <t>Đường QL12 đoạn từ ranh giới xã Mường Mươn đến cầu Mường Mươn;</t>
  </si>
  <si>
    <t>Đường QL12 đoạn từ cầu Mường Mươn đến ranh giới thị trấn Mường Chà;</t>
  </si>
  <si>
    <t>Xã Sa Lông</t>
  </si>
  <si>
    <t>Đường QL12 đoạn từ ranh giới thị trấn Mường Chà đến hết ranh giới bản Háng Lìa;</t>
  </si>
  <si>
    <t>Đường QL12 đoạn từ tiếp giáp bản Háng Lìa đến hết ranh giới bản Sa Lông 1;</t>
  </si>
  <si>
    <t>Đường QL12 đoạn từ ranh giới bản Sa Lông 1 đến ranh giới xã Huổi Lèng;</t>
  </si>
  <si>
    <t>Xã Huổi Lèng</t>
  </si>
  <si>
    <t>Đường QL12 đoạn từ ranh giới xã Sa Lông đến hết ranh giới bản Huổi Toóng 1;</t>
  </si>
  <si>
    <t>Đường QL12 đoạn từ ranh giới bản Huổi Toóng 1 đến ranh giới xã Mường Tùng;</t>
  </si>
  <si>
    <t>Đường Ma Thì Hồ Chà Tở đoạn từ ranh giới bản Nậm Chua đến ranh giới xã Chà Tở;</t>
  </si>
  <si>
    <t>Tuyến mới, giá đề xuất của huyện</t>
  </si>
  <si>
    <t>Xã Mường Tùng</t>
  </si>
  <si>
    <t>Đường QL 12 đoạn từ ranh giới xã Huổi Lèng đến ranh giới xã Lay Nưa;</t>
  </si>
  <si>
    <t>Đường tỉnh lộ 142 đoạn từ cầu Mường Tùng đến ranh giới xã Lay Nưa;</t>
  </si>
  <si>
    <t>Đường Mường Tùng đi Chà Tở (hết địa phận xã Mường Tùng)</t>
  </si>
  <si>
    <t>Xã Ma Thì Hồ</t>
  </si>
  <si>
    <t>Đường QL 4H từ ranh giới thị trấn Mường Chà đến hết cầu bê tông Km 20+906 QL4H;</t>
  </si>
  <si>
    <t>Đường QL 4H từ cầu bê tông Km 20+906 QL4H đến ngã ba đường rẽ bản Ma Thì Hồ 1;</t>
  </si>
  <si>
    <t>Đường QL 4H từ ngã ba đường rẽ bản Ma Thì Hồ 1 đến hết ranh giới giáp xã Si Pa phìn;</t>
  </si>
  <si>
    <t>Đường Ma Thì Hồ Chà Tở đoạn từ ranh giới bản Ma Thì Hồ 1 đến ranh giới xã Huổi Lèng;</t>
  </si>
  <si>
    <t>Đường đi bản Huổi Quang từ ranh giới bản Hồ Chim 2 đến ranh giới bản Huổi Hạ xã Na Sang;</t>
  </si>
  <si>
    <t>Xã Sá Tổng</t>
  </si>
  <si>
    <t>Đường QL 6 đoạn từ ranh giới thị xã Mường Lay đến ranh giới xã Hừa Ngài;</t>
  </si>
  <si>
    <t>Đường đi UBND xã từ ranh giới bản Phi 2 đến hết ranh giới bản Dế Da;</t>
  </si>
  <si>
    <t>Xã Pa Ham</t>
  </si>
  <si>
    <t>Đường QL 6 đoạn từ ranh giới xã Hừa Ngài hết ranh giới bản Pa Ham 1, Pa Ham 2;</t>
  </si>
  <si>
    <t>Đường QL 6 đoạn từ ranh giới bản Pa Ham 1 và Pa Ham 2 đi hết ranh giới bản Mường Anh 1, Mường Anh 2;</t>
  </si>
  <si>
    <t>Đường QL 6 đoạn từ ranh giới bản Mường Anh 1, Mường Anh 2 đến ranh giới xã Nận Nèn;</t>
  </si>
  <si>
    <t>Xã Nậm Nèn</t>
  </si>
  <si>
    <t>Đường QL 6 đoạn từ ranh giới xã Pa Ham đến hết ranh giới bản Phiêng Đất A;</t>
  </si>
  <si>
    <t>Đường QL 6 đoạn từ ranh giới bản Phiêng Đất A đến hết ranh giới bản Nậm Cút;</t>
  </si>
  <si>
    <t>Đường QL 6 đoạn từ ranh giới bản Nậm Cút đến ranh giới xã Mường Mùn;</t>
  </si>
  <si>
    <t>Đường tỉnh lộ 144B đoạn ngã 3 đường QL 6 từ bản phiêng đất A đến ranh giới xã Hừa Ngài</t>
  </si>
  <si>
    <t>Giá theo đề xuất huyện</t>
  </si>
  <si>
    <t>Đoạn từ ngã tư QL 6 rẽ vào xã Huổi Mí đi qua bản Háng Trở đến ranh giới xã Huổi Mí</t>
  </si>
  <si>
    <t>Xã Hừa Ngài</t>
  </si>
  <si>
    <t>Đường QL 6 đoạn từ ranh giới xã Sá Tổng đến ranh giới xã Pa Ham;</t>
  </si>
  <si>
    <t>Đường liên xã đoạn từ ranh giới xã Huổi Lèng đến hết ranh giới bản Há Là Chủ A, Há Là Chủ B;</t>
  </si>
  <si>
    <t>Đường tỉnh lộ 144B từ ranh giới xã Huổi Lèng đến hết ranh giới bản Há Là Chủ A, Há Là Chủ B;</t>
  </si>
  <si>
    <t>Đường liên xã đoạn từ ranh giới bản Há Là Chủ A, Há Là Chủ B đến ranh giới xã Nậm Nèn;</t>
  </si>
  <si>
    <t>Đường tỉnh lộ 144B từ ranh giới bản Há Là Chủ A, Há Là Chủ B đến ranh giới xã Nậm Nèn;</t>
  </si>
  <si>
    <t>Xã Huổi Mí</t>
  </si>
  <si>
    <t>Đường liên xã từ ranh giới xã Nậm Nèn đến hết ranh giới bản Lùng Thàng 1, Lùng Thàng 2;</t>
  </si>
  <si>
    <t>Đường tỉnh lộ 144B từ ranh giới xã Nậm Nèn đến hết ranh giới bản Lùng Thàng 1, Lùng Thàng 2;</t>
  </si>
  <si>
    <t>Đề xuất giá của huyện</t>
  </si>
  <si>
    <t>Đường liên xã từ ranh giới bản Lùng Thàng 1, Lùng Thàng 2 đến hết ranh giới bản huổi Mí 1;</t>
  </si>
  <si>
    <t>Đường tỉnh lộ 144B từ ranh giới bản Lùng Thàng 1, Lùng Thàng 2 đến hết ranh giới bản huổi Mí 1;</t>
  </si>
  <si>
    <t>Trung tâm xã Huổi Mí;</t>
  </si>
  <si>
    <t>Đường liên xã từ ranh giới trung tâm xã đến hết ranh giới bản Huổi Mí 2;</t>
  </si>
  <si>
    <t>Đường tỉnh lộ từ ranh giới trung tâm xã đến hết ranh giới bản Huổi Mí 2;</t>
  </si>
  <si>
    <t>Khu quy hoạch trung tâm huyện</t>
  </si>
  <si>
    <t>Đường tỉnh lộ 145 từ giáp ranh giới xã Nà Hỳ với xã Nậm Chua đến hết ranh giới bản Huổi Đáp</t>
  </si>
  <si>
    <t>Đường tỉnh lộ 145 từ ranh giới bản Huổi Đáp đến giáp ranh giới xã Nà Khoa với xã Nậm Chua</t>
  </si>
  <si>
    <t>Đường QH 32m (trải nhựa 16m)</t>
  </si>
  <si>
    <t xml:space="preserve">Quyết định 1643/QĐ-UBND ngày 5/10/2023 tỉnh Điện Biên Phê duyệt giá đất cụ thể để giao đất ở có thu tiền sử dụng đất không thông qua hình thức đấu giá quyền sử dụng đất tại khu vực trung tâm huyện Nậm Pồ, tỉnh Điện Biên </t>
  </si>
  <si>
    <t>Đường Bê tông 16,5m</t>
  </si>
  <si>
    <t>Đường Bê tông 13,5m</t>
  </si>
  <si>
    <t>Đường Bê tông 12m</t>
  </si>
  <si>
    <t>TT thu thập giá bình quân của HĐCN</t>
  </si>
  <si>
    <t xml:space="preserve">Đường Bê tông 10m </t>
  </si>
  <si>
    <t>TT sử dụng PP So sánh</t>
  </si>
  <si>
    <t>Khu TDC số 01 và 02: Đường đất 7,6m</t>
  </si>
  <si>
    <t>Quyết định 3217/QĐ-UBND ngày 13/12/2021 của UBND tỉnh Phê duyệt giá đất cụ thể để giao đất tái định cư, giao đất có thu tiền sử dụng đất không thông qua hình thức đấu giá dự án: Tái định cư các hộ dân, chỉnh trị dòng chảy suối Nậm Pồ và san ủi mặt bằng khu trung tâm huyện Nậm Pồ</t>
  </si>
  <si>
    <t>Các đường nội trung tâm huyện còn lại</t>
  </si>
  <si>
    <t>Xã Nà Hỳ</t>
  </si>
  <si>
    <t>Đường tỉnh lộ 145B đoạn từ ranh giới xã Chà Nưa đến Km 28 (Ngã ba rẽ vào thao trường diễn tập)</t>
  </si>
  <si>
    <t>Đường tỉnh lộ 145B đoạn từ Km 28 (Ngã ba rẽ vào thao trường diễn tập) đến cầu Huổi Bon</t>
  </si>
  <si>
    <t>Đường tỉnh lộ 145 đoạn từ giáp ranh giới xã Nậm Chua với xã Nà Hỳ đến cầu Huổi Bon</t>
  </si>
  <si>
    <t>Đường tỉnh lộ 145 đoạn từ cổng nông trường 1 cũ (nay là đội sản xuất số 8-Đoàn KT-QP 379) đến cầu Huổi Hoi</t>
  </si>
  <si>
    <t>Đường tỉnh lộ 145 từ cầu Huổi Bon đến cổng nông trường 1 cũ (nay là đội sản xuất số 8-Đoàn KT-QP 379)</t>
  </si>
  <si>
    <t>Đường tỉnh lộ 145 đoạn từ cầu Huổi Hoi đến ranh giới xã Nà Hỳ với xã Vàng Đán</t>
  </si>
  <si>
    <t xml:space="preserve">Đường bê tông nội bản Nà Hỳ 1,2,3 </t>
  </si>
  <si>
    <t>Đường nội, liên thôn bản còn lại</t>
  </si>
  <si>
    <t>Xã Vàng Đán</t>
  </si>
  <si>
    <t>Đường tỉnh lộ 145 đoạn từ ranh giới xã Nà Hỳ đến ranh giới hộ ông Thào A Chỉnh</t>
  </si>
  <si>
    <t>Đường tỉnh lộ 145 đoạn từ hộ ông Thào A Chỉnh đến ngã ba đường mòn Nộc Cốc 2</t>
  </si>
  <si>
    <t>Đường tỉnh lộ 145 đoạn từ ngã ba đường mòn Nộc Cốc đến ranh giới giáp xã Nà Bủng</t>
  </si>
  <si>
    <t>Đường liên bản từ hộ ông Vàng Văn Lịch đến hết đất ông Giàng Pàng Nù</t>
  </si>
  <si>
    <t>Các đường nội, liên thôn, bản</t>
  </si>
  <si>
    <t>Xã Nà Bủng</t>
  </si>
  <si>
    <t>Đường tỉnh lộ 145 từ ranh giới xã Vàng Đán đến trường mầm non Nà Bủng</t>
  </si>
  <si>
    <t>Đường tỉnh lộ 145 từ ranh giới trường mầm non Nà Bủng đến ngã 3 rẽ vào UBND xã Nà Bủng</t>
  </si>
  <si>
    <t>Đường tỉnh lộ 145 đoạn từ ngã 3 rẽ vào UBND xã Nà Bủng đến hộ ông Đỗ Danh Nhân</t>
  </si>
  <si>
    <t>Đường tỉnh lộ 145 đoạn từ ranh giới hộ ông Đỗ Danh Nhân đến đồn biên phòng Nà Bủng</t>
  </si>
  <si>
    <t>Đường tỉnh lộ 145 từ đồn biên phòng Nà Bủng đến cột mốc số 49</t>
  </si>
  <si>
    <t>Xã Nậm Chua</t>
  </si>
  <si>
    <t>Đoạn từ cầu Huổi Lái xã Nậm Chua - Nà Hỳ</t>
  </si>
  <si>
    <t xml:space="preserve">Đoạn từ ngã 3 Nậm Chua - Phiêng Ngúa </t>
  </si>
  <si>
    <t>Đoạn từ cầu Huổi Lái xã Nậm Chua - Nậm Nhừ</t>
  </si>
  <si>
    <t>Xã Nậm Tin</t>
  </si>
  <si>
    <t>Từ cầu Huổi Đắp theo đường tỉnh lộ 145 đến bản Tàng Do giáp trường THCS Tàng Do</t>
  </si>
  <si>
    <t>Đường tỉnh lộ 145 từ cầu treo Vàng Lếch đến cầu Huổi Đắp</t>
  </si>
  <si>
    <t>Đoạn từ ngã ba chợ Vàng Lếch đến hết UBND xã Nậm Tin</t>
  </si>
  <si>
    <t xml:space="preserve">Từ trường THCS Tàng Do theo đường tỉnh lộ 145 đến giáp ranh xã Nà Khoa; từ cầu Vàng Lếch đến giáp ranh xã Chà Cang; </t>
  </si>
  <si>
    <t>Các trục đường nội, liên thôn, bản;</t>
  </si>
  <si>
    <t>Xã Nậm Nhừ</t>
  </si>
  <si>
    <t>Đường liên xã đoạn từ ranh giới xã Nà Khoa đến hết ranh giới bản Nậm Nhừ 1</t>
  </si>
  <si>
    <t>Đường liên xã từ ranh giới bản Nậm Nhừ 1 đến hết ranh giới xã Nậm Nhừ</t>
  </si>
  <si>
    <t>Đoạn từ ngã ba đối diện hộ ông Cư A Áo đến đồn biên phòng Nậm Nhừ</t>
  </si>
  <si>
    <t>Xã Nà Khoa</t>
  </si>
  <si>
    <t>Đường tỉnh lộ 145 từ ranh giới xã Nà Khoa với xã Nậm Tin đến ranh giới xã Nà Khoa với xã Nậm Chua</t>
  </si>
  <si>
    <t>Đường liên xã đoạn từ ngã ba Nà Khoa đến cầu ngầm Nà Khoa</t>
  </si>
  <si>
    <t>Đường liên xã đoạn từ cầu ngầm Nà Khoa đến hộ ông Lường Văn Ven</t>
  </si>
  <si>
    <t>Đường liên xã đoạn từ giáp ranh giới hộ ông Lường Văn Ven đến ranh giới xã Nà Khoa với xã Nậm Nhừ</t>
  </si>
  <si>
    <t>Đường liên xã đoạn từ cầu ngầm Nà Khoa đến hộ ông Ma Văn Phương</t>
  </si>
  <si>
    <t>Đường liên xã đoạn từ ranh giới hộ ông Ma Văn Phương đến ranh giới xã Nà Khoa với xã Na Cô Sa</t>
  </si>
  <si>
    <t>Các trục đường nội, liên thôn bản</t>
  </si>
  <si>
    <t>Xã Na Cô Sa</t>
  </si>
  <si>
    <t>Đường liên xã đoạn từ ranh giới xã Nà Khoa đến điểm trường tiểu học Huổi Thủng 2</t>
  </si>
  <si>
    <t>Đường liên xã từ cầu 18m trung tâm xã đến hộ ông Tòng Văn Bóng (trường THCS)</t>
  </si>
  <si>
    <t>Đường liên xã từ hộ ông Lò Văn Sơn đến ranh giới xã Quảng Lâm</t>
  </si>
  <si>
    <t>Đường liên xã từ điểm trường tiểu học Huôi Thủng 2 đến nhà ông Lò Văn Sơn (khu trung tâm xã)</t>
  </si>
  <si>
    <t>Đường liên xã từ giáp nhà ông Tòng Văn Bóng đến trạm biên phòng Na Cô Sa 2</t>
  </si>
  <si>
    <t>Xã Si Pa Phìn</t>
  </si>
  <si>
    <t>Đường Quốc lộ 4H đoạn từ ranh giới xã Ma Thì Hồ đến cây xăng xã Si Pa Phìn</t>
  </si>
  <si>
    <t>Đường Quốc lộ 4H đoạn từ cây xăng xã Si Pa Phìn đến đài truyền thanh, truyền hình xã</t>
  </si>
  <si>
    <t>Đường Quốc lộ 4H đoạn từ đài truyền thanh, truyền hình xã đến ranh giới xã Phìn Hồ</t>
  </si>
  <si>
    <t>Đường Quốc lộ 4H(1) đoạn từ ngã ba Đội thuế đến cầu trắng Chế Nhù (Ông Đớ)</t>
  </si>
  <si>
    <t>Đường Quốc lộ 4H(1) đoạn từ cầu trắng Chế Nhù (Ông Đớ) đến cửa khẩu Si Pa Phìn</t>
  </si>
  <si>
    <t xml:space="preserve">Đường liên bản đoạn từ ngã 3 trường THCS Tân Phong đến hết trường THCS Tân Phong </t>
  </si>
  <si>
    <t>Đường nội, liên thôn bản</t>
  </si>
  <si>
    <t>Xã Phìn Hồ</t>
  </si>
  <si>
    <t>Đường Quốc lộ 4H từ ranh giới giáp xã Si Pa Phìn đến giáp đất hộ Liêu - Vềnh</t>
  </si>
  <si>
    <t>Đường Quốc lộ 4H từ đất hộ ông Liêu - Vềnh đến đất hộ bà Hồng</t>
  </si>
  <si>
    <t>Đường Quốc lộ 4H từ giáp đất hộ bà Hồng đến giáp đất hộ ông Măng</t>
  </si>
  <si>
    <t>Đường Quốc lộ 4H từ đất hộ ông Măng đến đất hộ Huệ Nhàn</t>
  </si>
  <si>
    <t>Đường Quốc lộ 4H từ giáp đất hộ Huệ Nhàn đến ranh giới xã Chà Nưa</t>
  </si>
  <si>
    <t>Đường tỉnh lộ 145B đoạn từ ngã ba Km 45 hướng đi trung tâm huyện Nậm Pồ đến ranh giới xã Phìn Hồ với xã Nà Hỳ</t>
  </si>
  <si>
    <t>Đoạn từ ngã ba rẽ lên trung tâm xã Phìn Hồ đến ngã ba rẽ đi bản Phìn Hồ</t>
  </si>
  <si>
    <t>Xã Chà Nưa</t>
  </si>
  <si>
    <t>Đường Quốc lộ 4H đoạn từ khe Huổi Phủm giáp ranh tới xã Phìn Hồ đến khe Huổi Co Phát giáp với bản Nà Sự 1</t>
  </si>
  <si>
    <t>Đường Quốc lộ 4H đoạn từ khe Huổi Phum Nhủng giáp ranh tới xã Phìn Hồ đến khe Huổi Co Phát giáp với bản Nà Sự 1</t>
  </si>
  <si>
    <t>Đường Quốc lộ 4H đoạn từ khe Huổi Co Phát bản Nà Sự 1 đến hết ranh giới bản Cấu xã Chà Nưa với xã Chà Cang</t>
  </si>
  <si>
    <t>Đường hướng đi trung tâm huyện từ ranh giới xã Phìn Hồ đến ranh giới xã Nà Hỳ</t>
  </si>
  <si>
    <t>Xã Chà Cang</t>
  </si>
  <si>
    <t>Đường Quốc lộ 4H từ ranh giới xã Chà Cang xã Chà Nưa đến giáp đất hộ ông Vệ Thìn</t>
  </si>
  <si>
    <t xml:space="preserve">Đường Quốc lộ 4H từ hộ ông Vệ Thìn đến hộ ông Mạnh - Yến </t>
  </si>
  <si>
    <t>Đường Quốc lộ 4H từ giáp đất hộ ông Mạnh - Yến đến cầu Huổi Sứng</t>
  </si>
  <si>
    <t>Đường Quốc lộ 4H từ cầu Huổi Sứng đến hết ranh giới xã Chà Cang</t>
  </si>
  <si>
    <t>Đường tỉnh lộ 150 từ ngã ba chợ Chà Cang đến cầu Chà Cang</t>
  </si>
  <si>
    <t>Đường tỉnh lộ 150 từ cầu Chà Cang đến hộ ông Lê Văn Thiết</t>
  </si>
  <si>
    <t>Đường tỉnh lộ 150 từ giáp đất hộ ông Lê Văn Thiết đến ranh giới xã Chà Cang với xã Chà Tở</t>
  </si>
  <si>
    <t>Đường tỉnh lộ 145 từ cầu Nậm Pồ đến ranh giới xã Chà Cang với xã Nậm Tin</t>
  </si>
  <si>
    <t>Đoạn từ trạm điện lực đến nhà văn hóa bản Mới</t>
  </si>
  <si>
    <t>Các đường liên, nội thôn bản</t>
  </si>
  <si>
    <t>Xã Pa Tần</t>
  </si>
  <si>
    <t>Đường Quốc lộ 4H đoạn từ ranh giới xã Chà Cang đến ngã ba Huổi Sâu</t>
  </si>
  <si>
    <t>Đường Quốc lộ 4H đoạn từ ngã ba Huổi Sâu đến khe Huổi Ngoong</t>
  </si>
  <si>
    <t>Đường Quốc lộ 4H đoạn từ khe Huổi Ngoong đến ranh giới xã Quảng Lâm</t>
  </si>
  <si>
    <t>Xã Chà Tở</t>
  </si>
  <si>
    <t>Đường tỉnh lộ 150 đoạn từ ranh giới xã Chà Cang với xã Chà Tở đến hết ranh giới bản Nà Én với bản Nà Pẩu</t>
  </si>
  <si>
    <t>Đường tỉnh lộ 150 đoạn từ ranh giới bản Nàn Pẩu đến hết ranh giới bản Nà Mười ( TT xã)</t>
  </si>
  <si>
    <t>Đường tỉnh lộ 150 đoạn từ ranh giới bản Nà Mười đến ranh giới xã Chà Tở với xã Mường Tùng</t>
  </si>
  <si>
    <t>Xã Nậm Khăn</t>
  </si>
  <si>
    <t>Đường liên xã đoạn từ ranh giới xã Nậm Khăn với xã Chà Tở đến giáp đất hộ ông Lành Văn Thiết</t>
  </si>
  <si>
    <t xml:space="preserve">Đường liên xã đoạn từ hộ ông Lành Văn Thiết đến giáp đất ông Poòng Văn Kính </t>
  </si>
  <si>
    <t xml:space="preserve">Đường liên xã đoạn từ hộ ông Lèng Văn Thiết đến giáp đất ông Poòng Văn Kính </t>
  </si>
  <si>
    <t>Sửa đổi, bổ sung tên đường và giá đất QĐ 30</t>
  </si>
  <si>
    <t xml:space="preserve">Đường liên xã đoạn từ ông Poòng Văn Kính đến cầu Nậm Khăn </t>
  </si>
  <si>
    <t>2.9. HUYỆN TỦA CHÙA</t>
  </si>
  <si>
    <t>VT 1</t>
  </si>
  <si>
    <t>VT2</t>
  </si>
  <si>
    <t>VT3</t>
  </si>
  <si>
    <t>Xã Mường Báng</t>
  </si>
  <si>
    <t>Theo Quyết định số 53/2019/QĐ-UBND ngày 31 tháng 12 năm 2019 của UBND tỉnh Điện Biên Và Quyết định số 30/2021/QĐ-UBND ngày 20 tháng 12 năm 2021 của UBND tỉnh Điện Biên</t>
  </si>
  <si>
    <t>Đoạn 1: Từ hết đất nhà bà Thảo giáp đường vào cung giao thông cũ (phần đất thuộc địa phận xã Mường Báng) thửa 9 tờ bản đồ 137 đến đất của điểm trường đội 10 thửa 194 tờ bản đồ 137; bao gồm cả phía đối diện từ hết đất nhà ông Hùng thửa 176 tờ bản đồ 137 đến hết đất nhà ông Nghiên thửa 175 tờ bản đồ 137</t>
  </si>
  <si>
    <t>Đoạn 2: Từ hết đất tường bao điểm trường đội 10 - thửa 4 tờ BĐ 146 đến đỉnh dốc trám- biển chè Tuyết Shan cổ thụ Tủa Chùa (bao gồm cả phía đối diện).</t>
  </si>
  <si>
    <t>Các thôn bản vùng thấp xã Mường Báng</t>
  </si>
  <si>
    <t>Các thôn bản vùng cao xã Mường Báng</t>
  </si>
  <si>
    <t>Xã Xá Nhè</t>
  </si>
  <si>
    <t>Khu vực trung tâm xã: Từ ngã ba đường trung tâm xã  hướng đường đi Tả Huổi Tráng và hướng đi xã Mường Đun (bán kính 400m tính từ ngã ba đường); Từ ngã ba đường trung tâm xã hướng đường đi ra Tỉnh lộ 140 đến đường vào hang động xã Xá Nhè</t>
  </si>
  <si>
    <t>Các thôn, bản còn lại</t>
  </si>
  <si>
    <t>Xã Tả Sìn Thàng</t>
  </si>
  <si>
    <t>Khu vực trung tâm xã: Từ cây Xăng Tả Sìn Thàng đến nhà ông Hoàng Quỷ Nam (bán kính 1000m so với trung tâm xã), từ nhà máy chè đi qua trường cấp II +III đến nhà ông Nguyễn Quang Túc (bán kính 500m )</t>
  </si>
  <si>
    <t>Xã Mường Đun</t>
  </si>
  <si>
    <t xml:space="preserve">Khu vực trung tâm xã: Từ ngã ba Bản Đun (trước nhà ông Ém) đi xã Tủa Thàng (bán kính 500m); Từ ngã ba bản Đun (trước nhà ông Ém) đi Bản Hột (qua UBND xã cũ) (bánh kính 650m); Từ ngã ba bản Đun (trước nhà ông Ém) đường đi ra xã Xá Nhè (bán kính 700m) </t>
  </si>
  <si>
    <t>Xã Sính Phình</t>
  </si>
  <si>
    <t>Khu vực trung tâm xã (bán kính 200 m so với trụ sở xã)</t>
  </si>
  <si>
    <t>Xã Tủa Thàng</t>
  </si>
  <si>
    <t>Khu vực trung tâm xã (bán kính 450 m so với trụ sở xã)</t>
  </si>
  <si>
    <t>Từ Ngã ba Thôn Tả Huổi Tráng 2 (trước nhà Ông Điêu Chính Thạn) bán kính 650m tính từ ngã ba: Đường rẽ đi UBND xã Tủa Thàng, đường rẽ đi xã Huổi Só, đường rẽ đi xã Xá Nhè</t>
  </si>
  <si>
    <t>Xã Tả Phìn</t>
  </si>
  <si>
    <t xml:space="preserve">Khu vực trung tâm xã: Ngã tư xã Tả Phìn (trước nhà ông Sùng A Chu) bán kính 600m tính từ ngã tư: Đường đi lên xã Huổi Só, đường đi lên Tả Sìn Thàng, đường đi Sính Phình, đường đi Tào Cu Nhe. </t>
  </si>
  <si>
    <t>Xã Sín Chải</t>
  </si>
  <si>
    <t>Xã Lao Xả Phình</t>
  </si>
  <si>
    <t>Khu vực trung tâm xã (bán kính 150 m so với trụ sở xã)</t>
  </si>
  <si>
    <t>Xã Huổi Só</t>
  </si>
  <si>
    <t>Xã Trung Thu</t>
  </si>
  <si>
    <t>Đơn vị tính: 1.000 đồng/m²</t>
  </si>
  <si>
    <t>vị trí 
còn lại</t>
  </si>
  <si>
    <t>Trục đường Tỉnh lộ 142.</t>
  </si>
  <si>
    <t>Đoạn từ giáp thửa số 56 tờ bản đồ số 7 (Từ nút giao với đường NC12) đến đầu cầu Tạo Sen.</t>
  </si>
  <si>
    <t>Đoạn từ đầu cầu Tạo Sen hết địa phận thị xã Mường Lay.</t>
  </si>
  <si>
    <t>Đường tỉnh lộ 142 đoạn từ đầu cầu Nam Nậm Cản đến hết đất thửa số 56 tờ bản đồ số 7 (nút giao với đường NC12 hết bản Na Ka)</t>
  </si>
  <si>
    <t>Trục đường Quốc lộ 12.</t>
  </si>
  <si>
    <t>Đoạn từ điểm giao địa phận phường Na Lay đến nam Cầu Huổi Hái.</t>
  </si>
  <si>
    <t>Đoạn từ nam cầu Huổi Hái đến nam Huổi Phán</t>
  </si>
  <si>
    <t>Đoạn từ nam cầu Huổi Phán đến hết địa phận thị xã Mường Lay</t>
  </si>
  <si>
    <t>Đường giao thông nội bộ khu TĐC Bản Bắc 1, Bắc 2, Bản Ổ, Bản Na Ka.</t>
  </si>
  <si>
    <t>Đường N19A: Đoạn từ nút giao với đường N13A đến ngã ba giao nhau với đường CK1 và đường N13A ;</t>
  </si>
  <si>
    <t>Đường N13A: Đoạn từ nút giao với đường Quốc lộ 12 đến ngã ba giao nhau với đường CK1 và đường N19A.</t>
  </si>
  <si>
    <t>Đường N8A: Đoạn từ nút giao đường N13A về phía bắc đến nút giao với đường N13A (cạnh khe huổi Bắc).</t>
  </si>
  <si>
    <t>Đường NC14: Đoạn từ nút giao với Tỉnh Lộ 142 đến nút giao với đường NC12.</t>
  </si>
  <si>
    <t>Đường NC12: Đoạn từ giao nhau với đường NC14 chạy ven hồ đến nút giao với đường Tỉnh Lộ 142.</t>
  </si>
  <si>
    <t>Các bản vùng cao</t>
  </si>
  <si>
    <t>Bản Hô Huổi Luông</t>
  </si>
  <si>
    <t>Bản Hô Nậm Cản</t>
  </si>
  <si>
    <t>Bản Huổi Luân</t>
  </si>
  <si>
    <t>Các đường nội bản vùng thấp</t>
  </si>
  <si>
    <t>- Đường nhựa</t>
  </si>
  <si>
    <t>- Các trục đường bê tông nội bản</t>
  </si>
  <si>
    <t xml:space="preserve">- Các trục đường đất nội bản </t>
  </si>
  <si>
    <t xml:space="preserve">Tên đường, đoạn đường </t>
  </si>
  <si>
    <t>Các vị trí còn lại bám trục đường QL12</t>
  </si>
  <si>
    <t xml:space="preserve">Khu Quy hoạch trung tâm xã </t>
  </si>
  <si>
    <t>Đường Quốc lộ 4H: Đoạn từ cầu bê tông (nhà ông Phạm Văn Thư thửa 112 tờ bản đồ 130) đến thửa 66 tờ bản đồ 122 (Giáp đường bê tông lên bản Mường Nhé mới)</t>
  </si>
  <si>
    <t xml:space="preserve">Đường Quốc lộ 4H: Đoạn từ thửa 68 (đối diện thửa 66)
tờ bản đồ 122 đến đầu đường 32m </t>
  </si>
  <si>
    <t>VB 2049 của huyện</t>
  </si>
  <si>
    <t>PP so sánh</t>
  </si>
  <si>
    <t>Huyện đề nghị</t>
  </si>
  <si>
    <t>So sánh tăng giảm (+,-,%)</t>
  </si>
  <si>
    <t>Đề xuất của UBND huyện</t>
  </si>
  <si>
    <t>Nội dung sửa đổi bổ sung tên đường, giá đất</t>
  </si>
  <si>
    <t>Đoạn đường từ nhà Khánh Hằng đến hết phần đất của gia đình ông  Dũng Linh (Đối diện nhà nghỉ Hạnh Mai)</t>
  </si>
  <si>
    <t>Đoạn đường từ đầu cầu treo bản Búng (từ biên đất nhà ông Phương Bắc) đến hết phần đất của gia đình ông Lường Văn Lưu Thương đầu cầu bê tông bản Khu Chợ.</t>
  </si>
  <si>
    <t>Đoạn đường từ biên đất của gia đình ông Lương Văn Lưu Thương (đầu cầu bê tông bản Khu Chợ)  đến hết phần đất của gia đình ông Lường Văn Nuôi bản Xuân Món.</t>
  </si>
  <si>
    <t>Đoạn đường từ biên đất của gia đình ông Lường Văn Thời ngã tư đầu cầu treo bản Búng đến hết phần đất của gia đình ông Quàng Văn Cường (bản Nà Lấu).</t>
  </si>
  <si>
    <t>Đoạn từ cầu số 2 đến hết bản Thẳm Tọ</t>
  </si>
  <si>
    <t>Đoạn từ cầu số 1 đến hết bản Kéo</t>
  </si>
  <si>
    <t>4.16</t>
  </si>
  <si>
    <t>So sánh tăng, giảm (+,-%)</t>
  </si>
  <si>
    <t>10.2a</t>
  </si>
  <si>
    <t>SSTT dùng HĐ Nà Tấu</t>
  </si>
  <si>
    <t>SSTT dùng HĐ Kê Nênh</t>
  </si>
  <si>
    <t>3 H.Đồng</t>
  </si>
  <si>
    <t>QĐ 53 =&gt; QĐ 30 Điều chỉnh tên k điều chỉnh giá nên x1,16</t>
  </si>
  <si>
    <t>QĐ 53 =&gt;QĐ 30*1,16</t>
  </si>
  <si>
    <t xml:space="preserve">QĐ 53 =&gt;QĐ 30*1,16=&gt; Đổi tên </t>
  </si>
  <si>
    <t>PPSS sửa tên</t>
  </si>
  <si>
    <t>PPSS (dự án DT 147)</t>
  </si>
  <si>
    <t>Sửa tên PP SS</t>
  </si>
  <si>
    <t>Sửa tên PP so sánh</t>
  </si>
  <si>
    <t>Sửa tên  PPSS</t>
  </si>
  <si>
    <t>PPSS (dự án xuất tuyến 220kv</t>
  </si>
  <si>
    <t>PPSS (DT 147)</t>
  </si>
  <si>
    <t>tách đoạn; PPSS</t>
  </si>
  <si>
    <t>PPSS (động lực)</t>
  </si>
  <si>
    <t>PPSS (Động lực)</t>
  </si>
  <si>
    <t>Tuyến mới PPSS (Động lực)</t>
  </si>
  <si>
    <t>PPSS, giảm do SB cắt qua</t>
  </si>
  <si>
    <t>tách đoạn, đường tránh</t>
  </si>
  <si>
    <t xml:space="preserve">Đoạn từ nhà bà Lò Thị Nga thôn Thanh Đông đến đất ông Phạm Đồng Hưng thôn Thanh Đông
</t>
  </si>
  <si>
    <t>tách đoạn (đường cụt, giáp sân bay</t>
  </si>
  <si>
    <t>Đường tránh</t>
  </si>
  <si>
    <t>Đối diện bên kia đường đất TP</t>
  </si>
  <si>
    <t>Tách đoạn (động lực)</t>
  </si>
  <si>
    <t xml:space="preserve">Đoạn từ Ngã ba Noong Pết (thửa đất ông Vương Đình Kiểu) đến chân đập Hồ Hồng Khếnh (trừ các vị trí 1, 2, 3 khu trung tâm xã)
</t>
  </si>
  <si>
    <t>sửa tên (Đông lực)</t>
  </si>
  <si>
    <t>sửa tên; PPSS</t>
  </si>
  <si>
    <t xml:space="preserve">Bổ sung </t>
  </si>
  <si>
    <t xml:space="preserve">bổ sung </t>
  </si>
  <si>
    <t>PPSS (3hđ)</t>
  </si>
  <si>
    <t>PPSS (tram biến áp)</t>
  </si>
  <si>
    <t xml:space="preserve">Thửa đất số 10,21 Mảnh trích đo địa chính số 29 năm 2021 tiếp giáp 01 mặt đường nhựa 11,5m </t>
  </si>
  <si>
    <t>Thửa đất số 22,28 Mảnh trích đo địa chính số 29 năm 2021 tiếp giáp 02 mặt đường gồm (đường nhựa 11,5m và đường nhựa 7,5m)</t>
  </si>
  <si>
    <t xml:space="preserve">Thửa đất số 36,40,41 Mảnh trích đo địa chính số 29 năm 2021 tiếp giáp 01 mặt đường nhựa 11,5m </t>
  </si>
  <si>
    <t>Thửa đất số 39 Mảnh trích đo địa chính số 29 năm 2021 tiếp giáp 02 mặt đường gồm (đường nhựa 11,5m và đường nhựa 7,5m)</t>
  </si>
  <si>
    <t>Các thửa đất số 1 lô LK-05, thửa đất số 2, 3 lô LK-04, thửa đất số 2, 3 lô LK-03, thửa đất số 2, 3 lô LK-02, thửa đất số 2, 3 lô LK-01 tiếp giáp mặt đường bê tông 11,5 m.</t>
  </si>
  <si>
    <t>Các thửa đất số 3, 4, 5 lô LK-05, thửa đất số 5, 6, 7, 10, 11, 12 lô LK04, thửa đất số 5, 6, 7, 10, 11, 12 lô LK-03, thửa đất số 5, 6, 7, 10, 11, 12 lô LK-02, thửa đất số 2, 35, 6, 7, 10, 11, 12 lô LK-01, thửa đất 1, 2, 3, 4, 5, 6, 7, 8, 9, 10, 11, 12, 13, 14, 15 lô LK-06 tiếp giáp mặt đường bê tông 10,0 m</t>
  </si>
  <si>
    <t>Các thửa đất số 2 lô LK-05, thửa đất số 1, 4 lô LK-04, thửa đất số 1, 4 lô LK-03, thửa đất số 1, 4 lô LK-02, thửa đất số 1, 4 lô LK-01 tiếp giáp 2 mặt đường là đường bê tông 11,5 m và đường bê tông 10,0 m</t>
  </si>
  <si>
    <t>Các thửa đất số 6 lô LK-05, thửa đất số 8, 9 lô LK-04, thửa đất số 8, 9 lô LK-03, thửa đất số 8, 9 lô LK-02, thửa đất số 8, 9 lô LK-01, thửa đất 16 lô LK-06 tiếp giáp 2 mặt đường là đường bê tông 10,0 m và đường bê tông 10,0 m</t>
  </si>
  <si>
    <t>Đoạn từ gia đình ông Lù Văn Văn đến ngã tư ( gia đình ông Tòng Văn Tại bản Bó Mạy)</t>
  </si>
  <si>
    <t>Đoạn từ nhà ông Tòng Văn Tại ( bản Bó Mạy) đến ranh giới TT Mường Ảng ( biên đất gia đình ông Nùng Văn Tuyến bản Bó Mạy)</t>
  </si>
  <si>
    <t>nhựa 14m</t>
  </si>
  <si>
    <t>BT 4m</t>
  </si>
  <si>
    <t>nhựa 3m</t>
  </si>
  <si>
    <t>BT 3-4m</t>
  </si>
  <si>
    <t>QL 279 (12m)</t>
  </si>
  <si>
    <t>BT 2.5m</t>
  </si>
  <si>
    <t>BT 2.5-3m</t>
  </si>
  <si>
    <t>nhựa +BT</t>
  </si>
  <si>
    <t>đất</t>
  </si>
  <si>
    <t>%</t>
  </si>
  <si>
    <t>1 - Trung tâm huyện lỵ và xã Mường Nhé</t>
  </si>
  <si>
    <t>Trục đường 18m: Đoạn từ ngã 3 giao với trục 36m đến ngã 3 Giao với trục 18m (khu đất quy hoạch khách sạn)</t>
  </si>
  <si>
    <t>Trục đường 18m: Đoạn từ ngã 3 giao với trục 36m đến ngã 3 Giao với trục 18 m (Sân vận động)</t>
  </si>
  <si>
    <t>Trục đường 18m: Đoạn từ ngã 3 giao với trục 39m đến ngã 3 Giao với trục 15 m (UBND xã Mường Nhé)</t>
  </si>
  <si>
    <t>Trục đường 18m: Đoạn từ ngã 3 giao với trục 18m đến ngã 3 Giao với trục 13 m (trục 18m vành đai - nhà nghỉ Bình Minh)</t>
  </si>
  <si>
    <t>Trục đường 18m: Đoạn từ ngã 3 giao với trục 32m đến ngã 3 Giao với trục 13 m ( nhà nghỉ Trúc An)</t>
  </si>
  <si>
    <t>Trục đường 15m: Đoạn từ ngã 3 giao với trục đường 18m đến ngã 3 giao với trục đường 15m (Tượng đài - UBND xã Mường Nhé)</t>
  </si>
  <si>
    <t>Trục đường 15m: Đoạn từ ngã 3 giao với trục đường 18m đến ngã 3 giao với trục đường 15m (Nhà ông Lê Minh Phúc - Nhà văn hóa Tổ 2)</t>
  </si>
  <si>
    <t>1.14</t>
  </si>
  <si>
    <t>1.15</t>
  </si>
  <si>
    <t>1.16</t>
  </si>
  <si>
    <t>Trục đường 10,5m (Đường Bê tông)</t>
  </si>
  <si>
    <t>1.17</t>
  </si>
  <si>
    <t>Trục đường sau huyện ủy, sau Chi cục thống kê huyện (trục 11,5 m)</t>
  </si>
  <si>
    <t>1.18</t>
  </si>
  <si>
    <t>1.19</t>
  </si>
  <si>
    <t>1.20</t>
  </si>
  <si>
    <t>1.21</t>
  </si>
  <si>
    <t>1.22</t>
  </si>
  <si>
    <t>1.23</t>
  </si>
  <si>
    <t>1.24</t>
  </si>
  <si>
    <t>1.25</t>
  </si>
  <si>
    <t>1.26</t>
  </si>
  <si>
    <t>1.27</t>
  </si>
  <si>
    <t>1.28</t>
  </si>
  <si>
    <t>1.29</t>
  </si>
  <si>
    <t>1.30</t>
  </si>
  <si>
    <t>2 - Xã Quảng Lâm</t>
  </si>
  <si>
    <t>Đường Quảng Lâm - Huổi Lụ - Pá Mỳ (thuộc địa phận xã Quảng Lâm)</t>
  </si>
  <si>
    <t>3 - Xã Nậm Kè</t>
  </si>
  <si>
    <t>Đường Quốc lộ 4H: Đoạn từ Đội cao su Nậm Kè đến Khe Huổi Vai, bản Phiêng Vai</t>
  </si>
  <si>
    <t>Đường Quốc lộ 4H:  Đoạn từ khe Huổi Vai,  bản Phiêng Vai đến cầu Nậm Kè</t>
  </si>
  <si>
    <t>4 - Xã Mường Toong</t>
  </si>
  <si>
    <t>5 - Xã Pá Mỳ</t>
  </si>
  <si>
    <t>Đường liên xã Quảng Lâm - Huổi Lụ - Pá Mỳ</t>
  </si>
  <si>
    <t>6 - Xã Huổi Lếch</t>
  </si>
  <si>
    <t>7 - Xã Nậm Vì</t>
  </si>
  <si>
    <t>Trung tâm xã : Bản Nậm Vì, Bản Huổi Lúm</t>
  </si>
  <si>
    <t>Các bản Vang Hồ, Huổi Chạ 1, Huổi Chạ 2</t>
  </si>
  <si>
    <t>8 - Xã Chung Chải</t>
  </si>
  <si>
    <t>Quốc lộ 4H: Đoạn từ đầu bản Đoàn Kết đến giáp bản Si Ma 2 (trung tâm xã)</t>
  </si>
  <si>
    <t>Quốc lộ 4H: Đoạn từ đầu bản Si Ma 2 đến hết ranh giới xã.</t>
  </si>
  <si>
    <t>Quốc lộ 4H2: Đoạn từ cầu Nậm Ma Đoàn Kết đến hết ranh giới xã Chung Chải.</t>
  </si>
  <si>
    <t>9 - Xã Leng Su Sìn</t>
  </si>
  <si>
    <t>10 - Xã Sen Thượng</t>
  </si>
  <si>
    <t>11 - Xã Sín Thầu</t>
  </si>
  <si>
    <t>Quốc lộ 4H2: Trạm quản lý đường bộ 1 (Cung 24 quốc lộ 4H2) đến thửa 81, tờ BĐ ĐC 123 (đầu cầu Tả Co Khừ)</t>
  </si>
  <si>
    <t>Quốc lộ 4H2: Đoạn từ thửa 72, tờ BDĐC 123 ( cầu Tả Co Khừ) đến Cầu Bê Tông (Bản Tá Miếu)</t>
  </si>
  <si>
    <t xml:space="preserve">Sửa theo Văn bản 1710 </t>
  </si>
  <si>
    <t>Tiếp theo thửa số 52 tờ bản đồ 146 (Quàng Thị Um) đến  thửa số 31 tờ bản đồ 163 (Lò Thị Định hướng đi Luân Giói) đến mốc HIII 099415 (hướng đi Chiềng Sơ)</t>
  </si>
  <si>
    <t>Điều chỉnh lại  tên đoạn đường do khu Trung tâm xã đã di chuyển đến địa điểm mới</t>
  </si>
  <si>
    <t xml:space="preserve">Đường Võ Nguyên Giáp đoạn từ đầu cầu Nam Nậm Cản đến hết thửa đất số 56, tờ bản đồ số 7 (nút giao với ngõ 285 hết bản Na Ka) </t>
  </si>
  <si>
    <t>Điều chỉnh tên đường theo Văn bản số 2949/UBND - TNMT ngày 18/11/2024 của UBND thị xã Mường Lay</t>
  </si>
  <si>
    <t>Đường Khoàng Văn Tấm: Đoạn từ nút giao với Đường Lò Văn Hặc đến ngã ba giao nhau với Đường 12 Tháng 12 và Đường Lò Văn Hặc</t>
  </si>
  <si>
    <t>Đường Lò Văn Hặc: Đoạn từ nút giao với đường Quốc lộ 12 đến ngã ba giao nhau với Đường 12 Tháng 12 và Đường Khoàng Văn Tấm</t>
  </si>
  <si>
    <t>Đường N8A: Đoạn từ nút giao Đường Lò Văn Hặc  về phía bắc đến nút giao với Đường Lò Văn Hặc (cạnh khe huổi Bắc).</t>
  </si>
  <si>
    <t>Ngõ 285 đường Võ Nguyên Giáp</t>
  </si>
  <si>
    <t xml:space="preserve"> PP trung bình giá Thu thập hợp đồng (3)</t>
  </si>
  <si>
    <t>Theo Quyết định số 53/2019/QĐ-UBND ngày 31 tháng 12  năm 2019 của UBND tỉnh Điện Biên</t>
  </si>
  <si>
    <t>Giá đất dự kiến năm 2025</t>
  </si>
  <si>
    <t>Tăng giảm (+ - %)</t>
  </si>
  <si>
    <t>So sánh tăng, giảm (lần)</t>
  </si>
  <si>
    <t>Quyết định 53, hệ số k=1,1</t>
  </si>
  <si>
    <t>k = 1,1</t>
  </si>
  <si>
    <t>PP tính giá trung bình hợp đồng thu thập (3)</t>
  </si>
  <si>
    <t>3 HĐ</t>
  </si>
  <si>
    <t>3a</t>
  </si>
  <si>
    <t xml:space="preserve">Đường tỉnh lộ 144B từ ngã 3 bản Trung Dình đến giáp ranh xã Hừa Ngà </t>
  </si>
  <si>
    <t>Căn cứ theo Quyết định số: 153 /QĐ-SGTVT ngày 02 tháng 04 năm 2019 Về việc đổi tên đường liên thôn, liên bản sang tuyến đường tỉnh lộ 144B, PP So sánh</t>
  </si>
  <si>
    <t>Bổ sung theo BC số 154 của huyện Mường chà</t>
  </si>
  <si>
    <t>PP giá trị trung bình thu thập (3 hợp đồng)</t>
  </si>
  <si>
    <t>Điều chỉnh theo Văn bản 2393 của huyện Mường Chà</t>
  </si>
  <si>
    <t xml:space="preserve">Căn cứ theo Quyết định số: 153 /QĐ-SGTVT ngày 02 tháng 04 năm 2019 Về việc đổi tên đường liên thôn, liên bản sang tuyến đường tỉnh lộ 144B </t>
  </si>
  <si>
    <t>Bổ sung theo BC só 154 của huyện Mường Chà</t>
  </si>
  <si>
    <t>Căn cứ theo Quyết định số: 153 /QĐ-SGTVT ngày 02 tháng 04 năm 2019 Về việc đổi tên đường liên thôn, liên bản sang tuyến đường tỉnh lộ 144B, hệ số k=1,1</t>
  </si>
  <si>
    <t>Sửa đổi tên đường theo báo cáo số 154 của huyện Mường Chà</t>
  </si>
  <si>
    <t>Căn cứ theo Quyết định số: 153 /QĐ-SGTVT ngày 02 tháng 04 năm 2019 Về việc đổi tên đường liên thôn, liên bản sang tuyến đường tỉnh lộ 144B, PP so sánh</t>
  </si>
  <si>
    <t>Căn cứ theo Quyết định số: 153 /QĐ-SGTVT ngày 02 tháng 04 năm 2019 Về việc đổi tên đường liên thôn, liên bản sang tuyến đường tỉnh lộ 144B, hệ số k = 1,1</t>
  </si>
  <si>
    <t>Giá đất</t>
  </si>
  <si>
    <t>Từ thửa số 256 tờ bản đồ 143 (Quàng Văn Hợp -Quàng Thị Phương) đến thửa số 52 tờ bản đồ 146 (Quàng Thị Um)</t>
  </si>
  <si>
    <t>Từ ngã ba rẽ vào trụ sở UBND xã bán kính 500m</t>
  </si>
  <si>
    <t>Trung tâm xã (bán kính 500m)</t>
  </si>
  <si>
    <t>Trung tâm xã vùng thấp (bán kính 500m)</t>
  </si>
  <si>
    <t>Trung tâm xã cũ và UBND mới (bán kính 500 m)</t>
  </si>
  <si>
    <t>Trung tâm 4 xã vùng cao bán kính 500m và khu trung tâm UBND xã Phình Sáng mới (bản Háng Khúa)</t>
  </si>
  <si>
    <t>(Ban hành kèm theo Nghị quyết số        /2024/NQ-HĐND ngày      tháng 12 năm 2024 
của Hội đồng nhân dân tỉnh Điện Biên)</t>
  </si>
  <si>
    <r>
      <t>Các đường còn lại thuộc các bản:</t>
    </r>
    <r>
      <rPr>
        <sz val="13"/>
        <rFont val="Times New Roman"/>
        <family val="1"/>
      </rPr>
      <t xml:space="preserve"> Phiêng Lơi, Púng Tôm, Co Củ, Nà Lơi</t>
    </r>
  </si>
  <si>
    <r>
      <t xml:space="preserve">Các đường còn lại thuộc các bản: </t>
    </r>
    <r>
      <rPr>
        <sz val="13"/>
        <rFont val="Times New Roman"/>
        <family val="1"/>
      </rPr>
      <t>Pa Pốm, Tân Quang, Huổi Lơi</t>
    </r>
  </si>
  <si>
    <r>
      <t>Đường Trung tâm Mường Phăng đi ra Nà nghè:</t>
    </r>
    <r>
      <rPr>
        <sz val="13"/>
        <rFont val="Times New Roman"/>
        <family val="1"/>
      </rPr>
      <t xml:space="preserve"> Đoạn từ tiếp giáp xã Mường Phăng đến cầu tràn bản Co Thón</t>
    </r>
  </si>
  <si>
    <r>
      <t>Đường Trung tâm Mường Phăng đi ra Nà nghè</t>
    </r>
    <r>
      <rPr>
        <sz val="13"/>
        <rFont val="Times New Roman"/>
        <family val="1"/>
      </rPr>
      <t xml:space="preserve"> Đoạn từ cầu tràn bản Co Thón đến ngã ba đi bản Co Muông</t>
    </r>
  </si>
  <si>
    <r>
      <t xml:space="preserve">Đường vào Hồ Pa Khoang: </t>
    </r>
    <r>
      <rPr>
        <sz val="13"/>
        <rFont val="Times New Roman"/>
        <family val="1"/>
      </rPr>
      <t>Từ ngã ba Co Cượm đến giáp vị trí 3 đường Mường Phăng đi Nà Nhạn</t>
    </r>
  </si>
  <si>
    <r>
      <t>Đường Trung tâm xã đi xã Nà Nhạn:</t>
    </r>
    <r>
      <rPr>
        <sz val="13"/>
        <rFont val="Times New Roman"/>
        <family val="1"/>
      </rPr>
      <t xml:space="preserve"> Đoạn từ tiếp giáp vị trí 3 đường vào hầm Đại Tướng đến giáp xã Nà Nhạn</t>
    </r>
  </si>
  <si>
    <r>
      <t>Đường vào Hầm Đại Tướng:</t>
    </r>
    <r>
      <rPr>
        <sz val="13"/>
        <rFont val="Times New Roman"/>
        <family val="1"/>
      </rPr>
      <t xml:space="preserve"> Đoạn từ  ngã ba đi Nà Tấu đến hết đường nhựa khu di tích hầm Đại Tướng</t>
    </r>
  </si>
  <si>
    <r>
      <t>Đường vào Hầm Đại Tướng:</t>
    </r>
    <r>
      <rPr>
        <sz val="13"/>
        <rFont val="Times New Roman"/>
        <family val="1"/>
      </rPr>
      <t xml:space="preserve"> Đoạn từ  ngã ba đi Nà Tấu đến hết đường nhựa khu di tích hầm Đại Tướng (Đường đôi)</t>
    </r>
  </si>
  <si>
    <r>
      <t xml:space="preserve">Đường Trung tâm xã đi Nà Nghè: </t>
    </r>
    <r>
      <rPr>
        <sz val="13"/>
        <rFont val="Times New Roman"/>
        <family val="1"/>
      </rPr>
      <t xml:space="preserve"> Đoạn từ Ngã ba đi Nà Nhạn đến giáp ranh xã Pá Khoang</t>
    </r>
  </si>
  <si>
    <r>
      <t xml:space="preserve">Đường đi Nà Tấu: </t>
    </r>
    <r>
      <rPr>
        <sz val="13"/>
        <rFont val="Times New Roman"/>
        <family val="1"/>
      </rPr>
      <t>Đoạn từ giáp vị trí 3 đường đi Hầm Đại Tướng đến giáp xã Nà Tấu</t>
    </r>
  </si>
  <si>
    <r>
      <t xml:space="preserve">QL 279: </t>
    </r>
    <r>
      <rPr>
        <sz val="13"/>
        <rFont val="Times New Roman"/>
        <family val="1"/>
      </rPr>
      <t>Đoạn từ giáp huyện Mường Ảng đến cầu bản Xôm</t>
    </r>
  </si>
  <si>
    <r>
      <t xml:space="preserve">QL 279: </t>
    </r>
    <r>
      <rPr>
        <sz val="13"/>
        <rFont val="Times New Roman"/>
        <family val="1"/>
      </rPr>
      <t>Đoạn từ cầu bản Xôm đến cổng Trường Tiểu học số 2 Nà Tấu</t>
    </r>
  </si>
  <si>
    <r>
      <t xml:space="preserve">QL 279: </t>
    </r>
    <r>
      <rPr>
        <sz val="13"/>
        <rFont val="Times New Roman"/>
        <family val="1"/>
      </rPr>
      <t>Đoạn từ  cổng Trường Tiểu học số 2 Nà Tấu đến giáp xã Nà Nhạn</t>
    </r>
  </si>
  <si>
    <r>
      <t>Đường đi Mường Phăng:</t>
    </r>
    <r>
      <rPr>
        <sz val="13"/>
        <rFont val="Times New Roman"/>
        <family val="1"/>
      </rPr>
      <t xml:space="preserve"> Đoạn từ hết vị trí 1 QL 279 đến Kho K31</t>
    </r>
  </si>
  <si>
    <r>
      <t>Đường đi Mường Phăng:</t>
    </r>
    <r>
      <rPr>
        <sz val="13"/>
        <rFont val="Times New Roman"/>
        <family val="1"/>
      </rPr>
      <t xml:space="preserve"> Đoạn từ hết vị trí 1 QL 279 đến tiếp giáp đường 279B</t>
    </r>
  </si>
  <si>
    <r>
      <rPr>
        <b/>
        <sz val="13"/>
        <rFont val="Times New Roman"/>
        <family val="1"/>
      </rPr>
      <t>Đường QL 279B:</t>
    </r>
    <r>
      <rPr>
        <sz val="13"/>
        <rFont val="Times New Roman"/>
        <family val="1"/>
      </rPr>
      <t xml:space="preserve"> Đoạn từ hết vị trí 1 đến Kho K31</t>
    </r>
  </si>
  <si>
    <r>
      <t>Đường đi Mường Phăng:</t>
    </r>
    <r>
      <rPr>
        <sz val="13"/>
        <rFont val="Times New Roman"/>
        <family val="1"/>
      </rPr>
      <t xml:space="preserve"> Đoạn tiếp giáp Kho K31 đến ngã ba đi bản Nà Luống</t>
    </r>
  </si>
  <si>
    <r>
      <t>Đường QL 279B:</t>
    </r>
    <r>
      <rPr>
        <sz val="13"/>
        <rFont val="Times New Roman"/>
        <family val="1"/>
      </rPr>
      <t xml:space="preserve"> Đoạn tiếp giáp Kho K31 đến ngã ba đi bản Nà Luống</t>
    </r>
  </si>
  <si>
    <t xml:space="preserve">KHU VỰC TRUNG TÂM HUYỆN LỴ PÚ TỬU </t>
  </si>
  <si>
    <r>
      <t>QL 279:</t>
    </r>
    <r>
      <rPr>
        <sz val="13"/>
        <rFont val="Times New Roman"/>
        <family val="1"/>
      </rPr>
      <t xml:space="preserve"> Đoạn từ giáp xã Nà Tấu đến km 60</t>
    </r>
  </si>
  <si>
    <r>
      <t>QL 279:</t>
    </r>
    <r>
      <rPr>
        <sz val="13"/>
        <rFont val="Times New Roman"/>
        <family val="1"/>
      </rPr>
      <t xml:space="preserve"> Đoạn từ km 60 đến km 62</t>
    </r>
  </si>
  <si>
    <r>
      <t>QL 279:</t>
    </r>
    <r>
      <rPr>
        <sz val="13"/>
        <rFont val="Times New Roman"/>
        <family val="1"/>
      </rPr>
      <t xml:space="preserve"> Đoạn từ km 62 đến giáp xã Thanh Minh, TP Điện Biên Phủ</t>
    </r>
  </si>
  <si>
    <r>
      <t xml:space="preserve">QL 279: </t>
    </r>
    <r>
      <rPr>
        <sz val="13"/>
        <rFont val="Times New Roman"/>
        <family val="1"/>
      </rPr>
      <t>Đoạn từ giáp ranh thành phố Điện Biên phủ về phía nam đến hết đường nhựa 10,5m vào khu dân cư Bom La (đường rẽ vào cổng trường Chính trị huyện); về phía đông đến đường rẽ vào UBND huyện.</t>
    </r>
  </si>
  <si>
    <r>
      <t xml:space="preserve">QL 279: </t>
    </r>
    <r>
      <rPr>
        <sz val="13"/>
        <rFont val="Times New Roman"/>
        <family val="1"/>
      </rPr>
      <t>Đoạn tiếp giáp từ đường nhựa 10,5m vào khu dân cư Bom La (đường rẽ vào cổng trường Chính trị huyện), về phía đông giáp đường vào UBND huyện đến hết cây xăng của Công ty TNHH TM và XD Nam Linh Trang về phía đông đến hết thửa đất số 161 tờ bản đồ 361-a.</t>
    </r>
  </si>
  <si>
    <r>
      <t>QL 279:</t>
    </r>
    <r>
      <rPr>
        <sz val="13"/>
        <rFont val="Times New Roman"/>
        <family val="1"/>
      </rPr>
      <t xml:space="preserve"> Đoạn từ tiếp giáp cây xăng của Công ty TNHH TM và XD Nam Linh Trang, về phía đông giáp thửa đất số 191 tờ bản đồ số 361-a đến ranh giới giáp xã Thanh An.</t>
    </r>
  </si>
  <si>
    <r>
      <t xml:space="preserve">Đường vành đai 2 (Noong Bua - Pú Tửu): </t>
    </r>
    <r>
      <rPr>
        <sz val="13"/>
        <rFont val="Times New Roman"/>
        <family val="1"/>
      </rPr>
      <t>Đoạn tiếp giáp thành phố Điện Biên Phủ đến ngã tư đường rẽ vào đội 2, đội 10.</t>
    </r>
  </si>
  <si>
    <r>
      <t xml:space="preserve">Đường vành đai 2 (Noong Bua - Pú Tửu): </t>
    </r>
    <r>
      <rPr>
        <sz val="13"/>
        <rFont val="Times New Roman"/>
        <family val="1"/>
      </rPr>
      <t>Đoạn tiếp giáp từ ngã tư đường rẽ vào đội 2, đội 10 đến giáp trường tiểu học số 1 Thanh Xương.</t>
    </r>
  </si>
  <si>
    <r>
      <t xml:space="preserve">Đường đi Pú Tửu: </t>
    </r>
    <r>
      <rPr>
        <sz val="13"/>
        <rFont val="Times New Roman"/>
        <family val="1"/>
      </rPr>
      <t>Đoạn từ tiếp giáp vị trí 3 QL 279 qua ngã ba Huổi Hốc đi đội 7 đến Kênh thủy nông; qua đội 11 đến Kênh thủy nông.</t>
    </r>
  </si>
  <si>
    <r>
      <t>QL 279:</t>
    </r>
    <r>
      <rPr>
        <sz val="13"/>
        <rFont val="Times New Roman"/>
        <family val="1"/>
      </rPr>
      <t xml:space="preserve"> Đoạn từ giáp xã Thanh Xương đến đường rẽ vào bản mới Noong Ứng.</t>
    </r>
  </si>
  <si>
    <r>
      <t>QL 279:</t>
    </r>
    <r>
      <rPr>
        <sz val="13"/>
        <rFont val="Times New Roman"/>
        <family val="1"/>
      </rPr>
      <t xml:space="preserve"> Đoạn từ đường rẽ vào bản Mới Noong Ứng đến giáp xã Noong Hẹt (hết đất nhà ông Thắng thôn Hoàng Công Chất).</t>
    </r>
  </si>
  <si>
    <r>
      <t>Đường trục chính vào UBND xã:</t>
    </r>
    <r>
      <rPr>
        <sz val="13"/>
        <rFont val="Times New Roman"/>
        <family val="1"/>
      </rPr>
      <t xml:space="preserve"> Đoạn từ tiếp giáp vị trí 3 QL 279 đến Kênh thủy nông</t>
    </r>
  </si>
  <si>
    <r>
      <t>Đường trục chính vào UBND xã:</t>
    </r>
    <r>
      <rPr>
        <sz val="13"/>
        <rFont val="Times New Roman"/>
        <family val="1"/>
      </rPr>
      <t xml:space="preserve"> Đoạn từ Kênh thủy nông đến ngã ba rẽ đi bản Hoong Khoong</t>
    </r>
  </si>
  <si>
    <r>
      <t>Đường trục chính vào UBND xã:</t>
    </r>
    <r>
      <rPr>
        <sz val="13"/>
        <rFont val="Times New Roman"/>
        <family val="1"/>
      </rPr>
      <t xml:space="preserve"> Đoạn từ ngã ba đi bản Hoong Khoong đến hồ Cổ Ngựa (Hết đất nhà ông Chuyển thôn Đông Biên 5)</t>
    </r>
  </si>
  <si>
    <r>
      <t>Đường trục chính vào UBND xã:</t>
    </r>
    <r>
      <rPr>
        <sz val="13"/>
        <rFont val="Times New Roman"/>
        <family val="1"/>
      </rPr>
      <t xml:space="preserve"> Đoạn từ tiếp giáp đất nhà ông Chuyển thôn Đông Biên 5 đến tiếp giáp vị trí 3 đường phía Đông</t>
    </r>
  </si>
  <si>
    <r>
      <t>Đường vành đai phía Đông:</t>
    </r>
    <r>
      <rPr>
        <sz val="13"/>
        <rFont val="Times New Roman"/>
        <family val="1"/>
      </rPr>
      <t xml:space="preserve"> Đoạn từ giáp xã Thanh Xương đến giáp xã Noong Hẹt</t>
    </r>
  </si>
  <si>
    <r>
      <t>Quốc lộ 279:</t>
    </r>
    <r>
      <rPr>
        <sz val="13"/>
        <rFont val="Times New Roman"/>
        <family val="1"/>
      </rPr>
      <t xml:space="preserve"> Đoạn từ tiếp giáp Thanh An đến cống qua Quốc lộ 279</t>
    </r>
  </si>
  <si>
    <r>
      <t>Quốc lộ 279:</t>
    </r>
    <r>
      <rPr>
        <sz val="13"/>
        <rFont val="Times New Roman"/>
        <family val="1"/>
      </rPr>
      <t xml:space="preserve"> Đoạn từ  cống qua Quốc lộ 279 đến cổng phụ chợ Bản Phủ</t>
    </r>
  </si>
  <si>
    <r>
      <t>Quốc lộ 279:</t>
    </r>
    <r>
      <rPr>
        <sz val="13"/>
        <rFont val="Times New Roman"/>
        <family val="1"/>
      </rPr>
      <t xml:space="preserve"> Đoạn từ cổng phụ chợ Bản Phủ đến cống giáp Chi nhánh Ngân hàng Nông Nghiệp Bản Phủ</t>
    </r>
  </si>
  <si>
    <r>
      <t>Quốc lộ 279:</t>
    </r>
    <r>
      <rPr>
        <sz val="13"/>
        <rFont val="Times New Roman"/>
        <family val="1"/>
      </rPr>
      <t xml:space="preserve"> Đoạn từ cống giáp Chi nhánh Ngân hàng Bản Phủ đến đường rẽ vào trụ sở UBND xã Noong Hẹt</t>
    </r>
  </si>
  <si>
    <r>
      <t xml:space="preserve">Đường Quốc Lộ 12 kéo dài: </t>
    </r>
    <r>
      <rPr>
        <sz val="13"/>
        <rFont val="Times New Roman"/>
        <family val="1"/>
      </rPr>
      <t>Đoạn từ hết vị trí 1 Quốc lộ 279 đến bờ Thành ngoại</t>
    </r>
  </si>
  <si>
    <r>
      <t xml:space="preserve">Đường Quốc Lộ 12 kéo dài: </t>
    </r>
    <r>
      <rPr>
        <sz val="13"/>
        <rFont val="Times New Roman"/>
        <family val="1"/>
      </rPr>
      <t>Đoạn từ bờ Thành ngoại phía Đông đến bờ Thành ngoại phía Tây và đường rẽ vào Đền Hoàng Công Chất</t>
    </r>
  </si>
  <si>
    <r>
      <t xml:space="preserve">Đường Quốc Lộ 12 kéo dài: </t>
    </r>
    <r>
      <rPr>
        <sz val="13"/>
        <rFont val="Times New Roman"/>
        <family val="1"/>
      </rPr>
      <t>Đoạn từ bờ Thành ngoại phía Tây đến cầu Nậm Thanh</t>
    </r>
  </si>
  <si>
    <r>
      <t>Đường đi vào UBND xã:</t>
    </r>
    <r>
      <rPr>
        <sz val="13"/>
        <rFont val="Times New Roman"/>
        <family val="1"/>
      </rPr>
      <t xml:space="preserve"> Đoạn từ hết vị trí 3 Quốc lộ 279 đến đầu bản Bông</t>
    </r>
  </si>
  <si>
    <r>
      <t>Đường đi vào UBND xã:</t>
    </r>
    <r>
      <rPr>
        <sz val="13"/>
        <rFont val="Times New Roman"/>
        <family val="1"/>
      </rPr>
      <t xml:space="preserve"> Đoạn từ đầu bản Bông đến hết Trường Mầm non</t>
    </r>
  </si>
  <si>
    <r>
      <t>Đường vành đai phía Đông:</t>
    </r>
    <r>
      <rPr>
        <sz val="13"/>
        <rFont val="Times New Roman"/>
        <family val="1"/>
      </rPr>
      <t xml:space="preserve"> Đoạn từ giáp xã Thanh An đến giáp xã Sam Mứn </t>
    </r>
  </si>
  <si>
    <r>
      <t>QL 279:</t>
    </r>
    <r>
      <rPr>
        <sz val="13"/>
        <rFont val="Times New Roman"/>
        <family val="1"/>
      </rPr>
      <t xml:space="preserve"> Đoạn từ đất nhà  ông Nguyễn Văn Hà đối diện về hướng đông là đất nhà ông Nguyễn Văn Thống đến đường rẽ vào Nghĩa trang nhân dân Pom Lót (đối diện là hết đất nhà ông Nguyễn Văn Vũ) bao gồm cả hai bên đường</t>
    </r>
  </si>
  <si>
    <r>
      <t>QL 279:</t>
    </r>
    <r>
      <rPr>
        <sz val="13"/>
        <rFont val="Times New Roman"/>
        <family val="1"/>
      </rPr>
      <t xml:space="preserve"> Đoạn từ đất nhà  ông Nguyễn Văn Hà, đối diện là đất ông Phạm Thanh Thụy đến giáp cống bê tông thoát nước (hết đất ông Nguyễn Văn Cường, đối diện là hết đất ông Hoàng Hán Thăng) </t>
    </r>
  </si>
  <si>
    <r>
      <t>QL 279:</t>
    </r>
    <r>
      <rPr>
        <sz val="13"/>
        <rFont val="Times New Roman"/>
        <family val="1"/>
      </rPr>
      <t xml:space="preserve"> Đoạn từ giáp đường vào Nghĩa trang nhân dân Pom Lót qua ngã ba: Hướng đi Tây Trang đến đường đi vào đội 9 đối diện là ngõ vào nhà ông Lò Văn Thanh</t>
    </r>
  </si>
  <si>
    <r>
      <t>QL 279:</t>
    </r>
    <r>
      <rPr>
        <sz val="13"/>
        <rFont val="Times New Roman"/>
        <family val="1"/>
      </rPr>
      <t xml:space="preserve"> Đoạn từ đường đi vào đội 9 đối diện là ngõ vào nhà ông Lò Văn Thanh đến cầu Pắc Nậm.</t>
    </r>
  </si>
  <si>
    <r>
      <t>QL 279:</t>
    </r>
    <r>
      <rPr>
        <sz val="13"/>
        <rFont val="Times New Roman"/>
        <family val="1"/>
      </rPr>
      <t xml:space="preserve"> Đoạn từ đường đi vào thôn 9, đối diện là ngõ vào nhà ông Lò Văn Thanh đến cầu Pá Nậm.</t>
    </r>
  </si>
  <si>
    <r>
      <t>QL 279:</t>
    </r>
    <r>
      <rPr>
        <sz val="13"/>
        <rFont val="Times New Roman"/>
        <family val="1"/>
      </rPr>
      <t xml:space="preserve"> Đoạn từ cầu Pắc Nậm đến cầu bản Na Hai (Hết đất nhà ông Hương Nhung)</t>
    </r>
  </si>
  <si>
    <r>
      <t>QL 279:</t>
    </r>
    <r>
      <rPr>
        <sz val="13"/>
        <rFont val="Times New Roman"/>
        <family val="1"/>
      </rPr>
      <t xml:space="preserve"> Đoạn từ cầu Pá Nậm đến cầu bản Na Hai (Hết đất nhà ông Hương Nhung)</t>
    </r>
  </si>
  <si>
    <r>
      <t>QL 279:</t>
    </r>
    <r>
      <rPr>
        <sz val="13"/>
        <rFont val="Times New Roman"/>
        <family val="1"/>
      </rPr>
      <t xml:space="preserve"> Đoạn từ cầu bản Na Hai (hết đất ông Hương Nhung) đến giáp xã Na Ư </t>
    </r>
  </si>
  <si>
    <r>
      <t xml:space="preserve">Đường đi ĐBĐ: </t>
    </r>
    <r>
      <rPr>
        <sz val="13"/>
        <rFont val="Times New Roman"/>
        <family val="1"/>
      </rPr>
      <t>đoạn từ giáp nhà bà Bùi Thị Mai đối diện là đường vào đội 2 đến hết địa phận xã Pom Lót.</t>
    </r>
  </si>
  <si>
    <r>
      <t xml:space="preserve">Đường đi ĐBĐ: </t>
    </r>
    <r>
      <rPr>
        <sz val="13"/>
        <rFont val="Times New Roman"/>
        <family val="1"/>
      </rPr>
      <t>Từ ngã tư đường vào nhà văn hóa thôn 2, đối diện là đường vào thôn 5 đến hết địa phận xã Pom Lót</t>
    </r>
  </si>
  <si>
    <r>
      <t>Đường đi ĐBĐ:</t>
    </r>
    <r>
      <rPr>
        <sz val="13"/>
        <rFont val="Times New Roman"/>
        <family val="1"/>
      </rPr>
      <t xml:space="preserve"> Đoạn từ giáp địa phận xã Pom Lót đến hết đất nhà ông Đỗ Văn Hữu bản Đon Đứa</t>
    </r>
  </si>
  <si>
    <r>
      <t>Đường đi ĐBĐ:</t>
    </r>
    <r>
      <rPr>
        <sz val="13"/>
        <rFont val="Times New Roman"/>
        <family val="1"/>
      </rPr>
      <t xml:space="preserve"> Đoạn từ giáp đất nhà ông Đỗ Văn Hữu bản Đon Đứa đến cầu bê tông (gần ngõ  nhà  ông Hùng)</t>
    </r>
  </si>
  <si>
    <r>
      <t>Đường đi ĐBĐ:</t>
    </r>
    <r>
      <rPr>
        <sz val="13"/>
        <rFont val="Times New Roman"/>
        <family val="1"/>
      </rPr>
      <t xml:space="preserve"> Đoạn từ giáp đất nhà ông Đỗ Văn Hữu bản Đon Đứa đến cầu bê tông (gần ngõ nhà ông Hùng)</t>
    </r>
  </si>
  <si>
    <r>
      <t>Đường đi ĐBĐ:</t>
    </r>
    <r>
      <rPr>
        <sz val="13"/>
        <rFont val="Times New Roman"/>
        <family val="1"/>
      </rPr>
      <t xml:space="preserve"> Đoạn từ cầu bê tông (gần ngõ nhà ông Hùng) hướng đi Điện Biên Đông đến hết nhà ông Vui (Quán cơm bình dân); hướng đi theo đường phía đông đến hết đất nhà ông Nguyễn Văn Tân (đối diện là hết đất nhà ông Cao Trọng Trường).  </t>
    </r>
  </si>
  <si>
    <r>
      <t xml:space="preserve">Đường đi ĐBĐ: </t>
    </r>
    <r>
      <rPr>
        <sz val="13"/>
        <rFont val="Times New Roman"/>
        <family val="1"/>
      </rPr>
      <t>Đoạn từ giáp đất nhà ông Vui (quán cơm bình dân) đến cầu bê tông giáp doanh trại Bộ đội</t>
    </r>
  </si>
  <si>
    <r>
      <t xml:space="preserve">Đường đi ĐBĐ: </t>
    </r>
    <r>
      <rPr>
        <sz val="13"/>
        <rFont val="Times New Roman"/>
        <family val="1"/>
      </rPr>
      <t>Đoạn từ giáp cầu bê tông giáp doanh trại Bộ đội đến giáp xã Núa Ngam</t>
    </r>
  </si>
  <si>
    <r>
      <t>Đường vành đai phía Đông:</t>
    </r>
    <r>
      <rPr>
        <sz val="13"/>
        <rFont val="Times New Roman"/>
        <family val="1"/>
      </rPr>
      <t xml:space="preserve"> Đoạn từ giáp đất nhà ông Nguyễn Văn Tân đối diện là giáp đất nhà ông Cao Trọng Trường đến giáp xã Noong Hẹt</t>
    </r>
  </si>
  <si>
    <r>
      <t>Đường đi Pa Thơm:</t>
    </r>
    <r>
      <rPr>
        <sz val="13"/>
        <rFont val="Times New Roman"/>
        <family val="1"/>
      </rPr>
      <t xml:space="preserve"> Đoạn từ giáp xã Thanh Yên đến ngã tư UBND xã Noong Luống</t>
    </r>
  </si>
  <si>
    <r>
      <t xml:space="preserve">Đường đi Pa Thơm: </t>
    </r>
    <r>
      <rPr>
        <sz val="13"/>
        <rFont val="Times New Roman"/>
        <family val="1"/>
      </rPr>
      <t>Đoạn từ ngã tư qua UBND xã Noong Luống đi đội 7 đến hết đất nhà ông Đôi</t>
    </r>
  </si>
  <si>
    <r>
      <t>Đường đi Pa Thơm:</t>
    </r>
    <r>
      <rPr>
        <sz val="13"/>
        <rFont val="Times New Roman"/>
        <family val="1"/>
      </rPr>
      <t xml:space="preserve"> Đoạn từ giáp đất nhà ông Đôi đến hết đất nhà ông Pọm Đội 11.</t>
    </r>
  </si>
  <si>
    <r>
      <t>Đường đi U Va:</t>
    </r>
    <r>
      <rPr>
        <sz val="13"/>
        <rFont val="Times New Roman"/>
        <family val="1"/>
      </rPr>
      <t xml:space="preserve"> Đoạn từ ngã tư bản On đến hết nhà ông Thính Đội 20</t>
    </r>
  </si>
  <si>
    <r>
      <t xml:space="preserve">Đường đi U Va: </t>
    </r>
    <r>
      <rPr>
        <sz val="13"/>
        <rFont val="Times New Roman"/>
        <family val="1"/>
      </rPr>
      <t>Đoạn từ giáp nhà ông Thính đến ngã ba rẽ đi bản U Va</t>
    </r>
  </si>
  <si>
    <r>
      <t>QL 12:</t>
    </r>
    <r>
      <rPr>
        <sz val="13"/>
        <rFont val="Times New Roman"/>
        <family val="1"/>
      </rPr>
      <t xml:space="preserve"> Đoạn từ giáp thành phố Điện Biên Phủ đến đường rẽ vào Nghĩa trang Tông Khao</t>
    </r>
  </si>
  <si>
    <r>
      <t>QL 12</t>
    </r>
    <r>
      <rPr>
        <sz val="13"/>
        <rFont val="Times New Roman"/>
        <family val="1"/>
      </rPr>
      <t>: Đường rẽ vào Nghĩa trang Tông Khao đến hết nhà ông Lò Văn Tướng, đối diện là cổng vào bản Mển</t>
    </r>
  </si>
  <si>
    <r>
      <t>QL 12</t>
    </r>
    <r>
      <rPr>
        <sz val="13"/>
        <rFont val="Times New Roman"/>
        <family val="1"/>
      </rPr>
      <t>: Đoạn từ nhà ông Lò Văn Tướng, đối diện là cổng vào bản Mển đến hết địa phận Xã Thanh Nưa</t>
    </r>
  </si>
  <si>
    <r>
      <t>QL 12:</t>
    </r>
    <r>
      <rPr>
        <sz val="13"/>
        <rFont val="Times New Roman"/>
        <family val="1"/>
      </rPr>
      <t xml:space="preserve"> Đoạn từ giáp địa phận xã Thanh Nưa đến cầu xi măng bản Tâu.</t>
    </r>
  </si>
  <si>
    <r>
      <t>QL 12:</t>
    </r>
    <r>
      <rPr>
        <sz val="13"/>
        <rFont val="Times New Roman"/>
        <family val="1"/>
      </rPr>
      <t xml:space="preserve"> Đoạn từ cầu xi măng bản Tâu đến chân đèo Cò Chạy đối diện là suối Huổi Piếng</t>
    </r>
  </si>
  <si>
    <r>
      <t>QL 12:</t>
    </r>
    <r>
      <rPr>
        <sz val="13"/>
        <rFont val="Times New Roman"/>
        <family val="1"/>
      </rPr>
      <t xml:space="preserve"> Đoạn từ chân đèo Cò Chạy đối diện là suối Huổi Piếng đến giáp xã Mường Pồn</t>
    </r>
  </si>
  <si>
    <r>
      <t xml:space="preserve">Đường đi Hua Pe: </t>
    </r>
    <r>
      <rPr>
        <sz val="13"/>
        <rFont val="Times New Roman"/>
        <family val="1"/>
      </rPr>
      <t>Đoạn từ giáp thành phố Điện Biên Phủ đến trường tiểu học Thanh Luông</t>
    </r>
  </si>
  <si>
    <r>
      <rPr>
        <b/>
        <sz val="13"/>
        <rFont val="Times New Roman"/>
        <family val="1"/>
      </rPr>
      <t xml:space="preserve">Đường đi Hua Pe: </t>
    </r>
    <r>
      <rPr>
        <sz val="13"/>
        <rFont val="Times New Roman"/>
        <family val="1"/>
      </rPr>
      <t>Đoạn từ giáp sân bay thôn Cộng Hòa đến trường tiểu học Thanh Luông</t>
    </r>
  </si>
  <si>
    <r>
      <t xml:space="preserve">Đường đi Hua Pe: </t>
    </r>
    <r>
      <rPr>
        <sz val="13"/>
        <rFont val="Times New Roman"/>
        <family val="1"/>
      </rPr>
      <t>Đoạn từ trường tiểu học Thanh Luông đến ngã ba rẽ đi bản Noọng</t>
    </r>
  </si>
  <si>
    <r>
      <t xml:space="preserve">Đường đi Hua Pe: </t>
    </r>
    <r>
      <rPr>
        <sz val="13"/>
        <rFont val="Times New Roman"/>
        <family val="1"/>
      </rPr>
      <t>Đoạn từ trường tiểu học Thanh Luông đến ngã ba rẽ đi đội 11</t>
    </r>
  </si>
  <si>
    <r>
      <t xml:space="preserve">Đường đi Hua Pe: </t>
    </r>
    <r>
      <rPr>
        <sz val="13"/>
        <rFont val="Times New Roman"/>
        <family val="1"/>
      </rPr>
      <t>Đoạn từ ngã ba rẽ đi bản Noọng đến cầu chân đập hồ Hua Pe.</t>
    </r>
  </si>
  <si>
    <r>
      <t xml:space="preserve">Đường đi Hua Pe: </t>
    </r>
    <r>
      <rPr>
        <sz val="13"/>
        <rFont val="Times New Roman"/>
        <family val="1"/>
      </rPr>
      <t>Đoạn từ ngã ba rẽ đi đội 11 đến cầu chân đập hồ Pe Luông.</t>
    </r>
  </si>
  <si>
    <r>
      <t xml:space="preserve">Đường đi Hua Pe: </t>
    </r>
    <r>
      <rPr>
        <sz val="13"/>
        <rFont val="Times New Roman"/>
        <family val="1"/>
      </rPr>
      <t>Đoạn từ cầu chân đập hồ Hua Pe đến hết Đồn biên phòng Thanh Luông</t>
    </r>
  </si>
  <si>
    <r>
      <t xml:space="preserve">Đường đi Hua Pe: </t>
    </r>
    <r>
      <rPr>
        <sz val="13"/>
        <rFont val="Times New Roman"/>
        <family val="1"/>
      </rPr>
      <t>Đoạn từ cầu chân đập hồ Pe Luông đến hết Đồn biên phòng Thanh Luông</t>
    </r>
  </si>
  <si>
    <r>
      <t>QL12 :</t>
    </r>
    <r>
      <rPr>
        <sz val="13"/>
        <rFont val="Times New Roman"/>
        <family val="1"/>
      </rPr>
      <t xml:space="preserve"> Đoạn từ giáp thành phố Điện Biên Phủ đến giáp Thanh Chăn (trừ khu trung tâm ngã tư C4)</t>
    </r>
  </si>
  <si>
    <r>
      <t>QL12 :</t>
    </r>
    <r>
      <rPr>
        <sz val="13"/>
        <rFont val="Times New Roman"/>
        <family val="1"/>
      </rPr>
      <t xml:space="preserve"> Đoạn từ giáp thành phố Điện Biên Phủ đến giáp khu trung tâm ngã tư C4</t>
    </r>
  </si>
  <si>
    <r>
      <t>Khu trung tâm ngã tư C4:</t>
    </r>
    <r>
      <rPr>
        <sz val="13"/>
        <rFont val="Times New Roman"/>
        <family val="1"/>
      </rPr>
      <t xml:space="preserve"> Về phía Bắc hết đất nhà ông Bùi Cương đối diện là bà Uyên; về phía Đông đến cầu treo C4; về phía Tây hết đất nhà bà Chén đối diện là nhà ông Ngô Duy Thống; về phía Nam hết đất nhà ông Nguyễn Đức Lời đối diện là nhà ông Tuyết Minh</t>
    </r>
  </si>
  <si>
    <r>
      <t>Khu trung tâm ngã tư C4:</t>
    </r>
    <r>
      <rPr>
        <sz val="13"/>
        <rFont val="Times New Roman"/>
        <family val="1"/>
      </rPr>
      <t xml:space="preserve"> Về phía Tây hết đất nhà bà Chén đối diện là nhà ông Ngô Duy Thống; về phía Nam hết đất nhà ông Nguyễn Đức Lời đối diện là nhà ông Tuyết Minh</t>
    </r>
  </si>
  <si>
    <r>
      <t xml:space="preserve">Đường Lưu Viết Thoảng: </t>
    </r>
    <r>
      <rPr>
        <sz val="13"/>
        <rFont val="Times New Roman"/>
        <family val="1"/>
      </rPr>
      <t>Đoạn từ cầu C4 đến tiếp giáp ngã 4 đi xã Thanh Hưng (tiếp giáp đường QL 12 kéo dài)</t>
    </r>
  </si>
  <si>
    <r>
      <t>Đường ngã tư C4 đi Lếch Cuông</t>
    </r>
    <r>
      <rPr>
        <sz val="13"/>
        <rFont val="Times New Roman"/>
        <family val="1"/>
      </rPr>
      <t>: Đoạn tiếp giáp đất nhà ông Ngô Duy Thống đối diện là hết đất nhà bà Chén đến hết đội 20</t>
    </r>
  </si>
  <si>
    <r>
      <rPr>
        <b/>
        <sz val="13"/>
        <rFont val="Times New Roman"/>
        <family val="1"/>
      </rPr>
      <t>Đường ngã tư C4 đi Lếch Cuông</t>
    </r>
    <r>
      <rPr>
        <sz val="13"/>
        <rFont val="Times New Roman"/>
        <family val="1"/>
      </rPr>
      <t xml:space="preserve">: Đoạn tiếp giáp đất nhà ông Ngô Duy Thống đối diện là hết đất nhà bà Chén đến hết hết Thôn Thanh Chung
</t>
    </r>
  </si>
  <si>
    <r>
      <t>Đường ngã tư C4 đi Lếch Cuông</t>
    </r>
    <r>
      <rPr>
        <sz val="13"/>
        <rFont val="Times New Roman"/>
        <family val="1"/>
      </rPr>
      <t>: Đoạn tiếp giáp đội 20 đến đường rẽ vào bản Lếch Cang</t>
    </r>
  </si>
  <si>
    <r>
      <rPr>
        <b/>
        <sz val="13"/>
        <rFont val="Times New Roman"/>
        <family val="1"/>
      </rPr>
      <t>Đường ngã tư C4 đi Lếch Cuông</t>
    </r>
    <r>
      <rPr>
        <sz val="13"/>
        <rFont val="Times New Roman"/>
        <family val="1"/>
      </rPr>
      <t>: Đoạn tiếp giáp Thôn Thanh Chung đến đường rẽ vào bản Lếch Cang</t>
    </r>
  </si>
  <si>
    <r>
      <t>Khu trung tâm xã:</t>
    </r>
    <r>
      <rPr>
        <sz val="13"/>
        <rFont val="Times New Roman"/>
        <family val="1"/>
      </rPr>
      <t xml:space="preserve"> Đoạn đi qua UBND xã (trừ vị trí 1,2,3 đường ngã tư C4 đi Lếch Cuông và đường Tiểu đoàn cơ động đi UBND xã)</t>
    </r>
  </si>
  <si>
    <r>
      <rPr>
        <b/>
        <sz val="13"/>
        <rFont val="Times New Roman"/>
        <family val="1"/>
      </rPr>
      <t>Khu trung tâm xã</t>
    </r>
    <r>
      <rPr>
        <sz val="13"/>
        <rFont val="Times New Roman"/>
        <family val="1"/>
      </rPr>
      <t xml:space="preserve">: Đoạn đi qua UBND xã (trừ vị trí 1,2,3 đường ngã tư C4 đi Lếch Cuông và đường Bệnh viện 7/5 đi UBND xã)
</t>
    </r>
  </si>
  <si>
    <r>
      <t>Đường Tiểu đoàn cơ động đi UBND xã:</t>
    </r>
    <r>
      <rPr>
        <sz val="13"/>
        <rFont val="Times New Roman"/>
        <family val="1"/>
      </rPr>
      <t xml:space="preserve"> Đoạn tiếp giáp vị trí 3 đường Quốc lộ 12 kéo dài đến hết đội 19 (hết thửa số 133 tờ bản đồ 313-d, hết đất nhà ông Tâm)</t>
    </r>
  </si>
  <si>
    <r>
      <rPr>
        <b/>
        <sz val="13"/>
        <rFont val="Times New Roman"/>
        <family val="1"/>
      </rPr>
      <t>Đường Bệnh viện 7/5 đi UBND xã</t>
    </r>
    <r>
      <rPr>
        <sz val="13"/>
        <rFont val="Times New Roman"/>
        <family val="1"/>
      </rPr>
      <t>: Đoạn tiếp giáp vị trí 3 đường Quốc lộ 12 kéo dài đến hết thôn Thanh Xuân (đến ngã 3 hết đất ông Hà Văn Cân)</t>
    </r>
  </si>
  <si>
    <r>
      <t>Đường Tiểu đoàn cơ động đi UBND xã:</t>
    </r>
    <r>
      <rPr>
        <sz val="13"/>
        <rFont val="Times New Roman"/>
        <family val="1"/>
      </rPr>
      <t xml:space="preserve"> Đoạn tiếp giáp đội 19 qua ngã ba đội 6 +100 m</t>
    </r>
  </si>
  <si>
    <r>
      <t xml:space="preserve">Đường bệnh viện 7/5 đi UBND xã: </t>
    </r>
    <r>
      <rPr>
        <sz val="13"/>
        <rFont val="Times New Roman"/>
        <family val="1"/>
      </rPr>
      <t>Đoạn tiếp giáp thôn Thanh Xuân đến dưới kênh đại thủy nông</t>
    </r>
  </si>
  <si>
    <r>
      <t xml:space="preserve">Đường bệnh viện 7/5 đi UBND xã: </t>
    </r>
    <r>
      <rPr>
        <sz val="13"/>
        <rFont val="Times New Roman"/>
        <family val="1"/>
      </rPr>
      <t>Đoạn từ trên kênh đại thủy nông đến qua ngã ba Thôn Mỹ Hưng +100m</t>
    </r>
  </si>
  <si>
    <r>
      <t xml:space="preserve">QL 12 kéo dài: </t>
    </r>
    <r>
      <rPr>
        <sz val="13"/>
        <rFont val="Times New Roman"/>
        <family val="1"/>
      </rPr>
      <t>Đoạn từ giáp xã Thanh Hưng qua kho Vật tư nông nghiệp đến hết đất nhà ông Vân Nhất, đối diện là hết đất cửa hàng vật tư của ông Bạc.</t>
    </r>
  </si>
  <si>
    <r>
      <t>QL 12 kéo dài:</t>
    </r>
    <r>
      <rPr>
        <sz val="13"/>
        <rFont val="Times New Roman"/>
        <family val="1"/>
      </rPr>
      <t xml:space="preserve"> Đoạn tiếp từ cửa hàng vật tư của ông Bạc đến cầu Hoong Băng.</t>
    </r>
  </si>
  <si>
    <r>
      <t>QL 12 kéo dài:</t>
    </r>
    <r>
      <rPr>
        <sz val="13"/>
        <rFont val="Times New Roman"/>
        <family val="1"/>
      </rPr>
      <t xml:space="preserve"> Đoạn từ cầu Hoong Băng đến giáp xã Thanh Yên.</t>
    </r>
  </si>
  <si>
    <r>
      <t>Đường đi Thanh Hồng:</t>
    </r>
    <r>
      <rPr>
        <sz val="13"/>
        <rFont val="Times New Roman"/>
        <family val="1"/>
      </rPr>
      <t xml:space="preserve"> Đoạn từ ngã ba Co Mị qua ngã ba Thanh Hồng  theo 2 ngã đến kênh thuỷ nông.(trừ các vị trí 1,2,3 QL 12 kéo dài)</t>
    </r>
  </si>
  <si>
    <r>
      <t xml:space="preserve">Đường Ngã tư Pa Lếch đi UBND xã: </t>
    </r>
    <r>
      <rPr>
        <sz val="13"/>
        <rFont val="Times New Roman"/>
        <family val="1"/>
      </rPr>
      <t>Đoạn từ ngã tư Pa Lếch qua cổng UB xã qua kênh thuỷ nông đến hết đất nhà ông Thắng</t>
    </r>
  </si>
  <si>
    <r>
      <t xml:space="preserve">Đường Ngã tư Pa Lếch đi UBND xã: </t>
    </r>
    <r>
      <rPr>
        <sz val="13"/>
        <rFont val="Times New Roman"/>
        <family val="1"/>
      </rPr>
      <t>Đoạn tiếp giáp nhà ông Thắng đến hết đường nhựa (hết đất nhà ông Du)</t>
    </r>
  </si>
  <si>
    <r>
      <t>Đường đi Na Khưa:</t>
    </r>
    <r>
      <rPr>
        <sz val="13"/>
        <rFont val="Times New Roman"/>
        <family val="1"/>
      </rPr>
      <t xml:space="preserve"> Đoạn từ ngã ba đội 15,17 (trừ các vị trí 1,2,3 Quốc lộ 12 kéo dài) qua Na Khưa đến kênh thuỷ nông.</t>
    </r>
  </si>
  <si>
    <r>
      <t>Quốc lộ 12 kéo dài</t>
    </r>
    <r>
      <rPr>
        <sz val="13"/>
        <rFont val="Times New Roman"/>
        <family val="1"/>
      </rPr>
      <t>: Đoạn từ giáp xã Thanh Chăn hướng đi Noong Hẹt đến cầu Nậm Thanh (mới); hướng đi Noong Luống đến giáp địa phận xã Noong Luống (trừ khu trung tâm ngã tư Tiến Thanh).</t>
    </r>
  </si>
  <si>
    <r>
      <t xml:space="preserve">Khu ngã ba Noong Cống: </t>
    </r>
    <r>
      <rPr>
        <sz val="13"/>
        <rFont val="Times New Roman"/>
        <family val="1"/>
      </rPr>
      <t>Đoạn từ giáp ngã ba Noong Cống đến giáp cầu Nậm Thanh (cũ)</t>
    </r>
  </si>
  <si>
    <r>
      <t>Khu ngã tư Tiến Thanh:</t>
    </r>
    <r>
      <rPr>
        <sz val="13"/>
        <rFont val="Times New Roman"/>
        <family val="1"/>
      </rPr>
      <t xml:space="preserve"> Hướng về phía Tây hết đất nhà bà Phạm Thị Minh đội 2; hướng về phía Nam hết đất nhà ông Nguyễn Trọng Tám đối diện là nhà ông Nguyễn Xuân Quí; hướng về phía Đông đến cầu C9; hướng về phía Bắc hết đất nhà ông Nguyễn Trọng Dũng (giáp đường vào nhà ông Trần Văn Thường). </t>
    </r>
  </si>
  <si>
    <r>
      <t>Khu trung tâm xã:</t>
    </r>
    <r>
      <rPr>
        <sz val="13"/>
        <rFont val="Times New Roman"/>
        <family val="1"/>
      </rPr>
      <t xml:space="preserve">  Đoạn từ ngã tư về phía Bắc đến hết đất nhà ông Trần Văn Tới đối diện là nhà ông Đỗ Đức Kiềng; về phía Đông đến hết đất ông Trần Văn Sơn đối diện là đường rẽ vào trường TH số 1; về phía Tây đến hết đất nhà ông Nguyễn Văn Thắng; về phía Nam đến hết trường THCS; từ ngã rẽ đến hết trường mầm non số 1.</t>
    </r>
  </si>
  <si>
    <r>
      <t xml:space="preserve"> </t>
    </r>
    <r>
      <rPr>
        <b/>
        <sz val="13"/>
        <rFont val="Times New Roman"/>
        <family val="1"/>
      </rPr>
      <t>Đường đi ĐBĐ (QL12):</t>
    </r>
    <r>
      <rPr>
        <sz val="13"/>
        <rFont val="Times New Roman"/>
        <family val="1"/>
      </rPr>
      <t xml:space="preserve"> Đoạn từ giáp xã Sam Mứn đến cầu Phú Ngam</t>
    </r>
  </si>
  <si>
    <r>
      <t xml:space="preserve"> </t>
    </r>
    <r>
      <rPr>
        <b/>
        <sz val="13"/>
        <rFont val="Times New Roman"/>
        <family val="1"/>
      </rPr>
      <t>Đường đi ĐBĐ (QL12):</t>
    </r>
    <r>
      <rPr>
        <sz val="13"/>
        <rFont val="Times New Roman"/>
        <family val="1"/>
      </rPr>
      <t xml:space="preserve"> Đoạn từ cầu Phú Ngam đến cầu Pá Ngam 2</t>
    </r>
  </si>
  <si>
    <r>
      <rPr>
        <b/>
        <sz val="13"/>
        <rFont val="Times New Roman"/>
        <family val="1"/>
      </rPr>
      <t>Đường đi ĐBĐ (QL12):</t>
    </r>
    <r>
      <rPr>
        <sz val="13"/>
        <rFont val="Times New Roman"/>
        <family val="1"/>
      </rPr>
      <t xml:space="preserve"> Đoạn từ cầu Phú Ngam đến cầu Pá Ngam 2</t>
    </r>
  </si>
  <si>
    <r>
      <t xml:space="preserve"> </t>
    </r>
    <r>
      <rPr>
        <b/>
        <sz val="13"/>
        <rFont val="Times New Roman"/>
        <family val="1"/>
      </rPr>
      <t>Đường đi ĐBĐ (QL12):</t>
    </r>
    <r>
      <rPr>
        <sz val="13"/>
        <rFont val="Times New Roman"/>
        <family val="1"/>
      </rPr>
      <t xml:space="preserve"> Đoạn từ cầu Pá Ngam 2  đến cầu bản Tân Ngam giáp bản Pá Bông</t>
    </r>
  </si>
  <si>
    <r>
      <t xml:space="preserve"> </t>
    </r>
    <r>
      <rPr>
        <b/>
        <sz val="13"/>
        <rFont val="Times New Roman"/>
        <family val="1"/>
      </rPr>
      <t>Đường đi ĐBĐ (QL12):</t>
    </r>
    <r>
      <rPr>
        <sz val="13"/>
        <rFont val="Times New Roman"/>
        <family val="1"/>
      </rPr>
      <t xml:space="preserve"> Đoạn từ cầu bản Tân Ngam giáp bản Pá Bông đến giáp huyện Điện Biên Đông</t>
    </r>
  </si>
  <si>
    <r>
      <t>Đường đi Mường Lói (QL 279C):</t>
    </r>
    <r>
      <rPr>
        <sz val="13"/>
        <rFont val="Times New Roman"/>
        <family val="1"/>
      </rPr>
      <t xml:space="preserve"> Đoạn từ cầu Pá Ngam 1 đến Km 1</t>
    </r>
  </si>
  <si>
    <r>
      <t>Đường đi Mường Lói (QL 279C):</t>
    </r>
    <r>
      <rPr>
        <sz val="13"/>
        <rFont val="Times New Roman"/>
        <family val="1"/>
      </rPr>
      <t xml:space="preserve"> Đoạn từ  Km 1 đến giáp địa phận xã Hẹ Muông</t>
    </r>
  </si>
  <si>
    <r>
      <t>QL 279C:</t>
    </r>
    <r>
      <rPr>
        <sz val="13"/>
        <rFont val="Times New Roman"/>
        <family val="1"/>
      </rPr>
      <t xml:space="preserve"> Đoạn từ giáp xã Núa Ngam đến giáp đất Công ty cổ phần tinh bột Hồng Diệp</t>
    </r>
  </si>
  <si>
    <r>
      <t>QL 279C:</t>
    </r>
    <r>
      <rPr>
        <sz val="13"/>
        <rFont val="Times New Roman"/>
        <family val="1"/>
      </rPr>
      <t xml:space="preserve"> Đoạn từ đất Công ty cổ phần tinh bột Hồng Diệp đến hết đất nhà ông Quàng Văn Sương bản Công Binh</t>
    </r>
  </si>
  <si>
    <r>
      <t>QL 279C:</t>
    </r>
    <r>
      <rPr>
        <sz val="13"/>
        <rFont val="Times New Roman"/>
        <family val="1"/>
      </rPr>
      <t xml:space="preserve"> Đoạn từ đất nhà ông Quàng Văn Sương bản Công Binh đến giáp xã Na Tông</t>
    </r>
  </si>
  <si>
    <r>
      <t>QL279C</t>
    </r>
    <r>
      <rPr>
        <sz val="13"/>
        <rFont val="Times New Roman"/>
        <family val="1"/>
      </rPr>
      <t>: Đoạn từ giáp xã Hẹ Muông đến suối ranh giới giữa Pa Kín với Na Tông I</t>
    </r>
  </si>
  <si>
    <r>
      <t>QL279C:</t>
    </r>
    <r>
      <rPr>
        <sz val="13"/>
        <rFont val="Times New Roman"/>
        <family val="1"/>
      </rPr>
      <t xml:space="preserve"> Đoạn từ suối ranh giới giữa Pa Kín với Na Tông I đến hết đất nhà bà Lường Thị Yên bản Na Tông II</t>
    </r>
  </si>
  <si>
    <r>
      <t>QL279C</t>
    </r>
    <r>
      <rPr>
        <sz val="13"/>
        <rFont val="Times New Roman"/>
        <family val="1"/>
      </rPr>
      <t>: Đoạn từ giáp đất nhà bà Lường Thị Yên bản Na Tông II đến hết đất nhà ông Lò Văn Phong bản Na Ố</t>
    </r>
  </si>
  <si>
    <r>
      <t>QL279C</t>
    </r>
    <r>
      <rPr>
        <sz val="13"/>
        <rFont val="Times New Roman"/>
        <family val="1"/>
      </rPr>
      <t>: Đoạn từ giáp đất quán ông Lò Văn Phong bản Na Ố đến giáp xã Mường Nhà</t>
    </r>
  </si>
  <si>
    <r>
      <t>QL279C</t>
    </r>
    <r>
      <rPr>
        <sz val="13"/>
        <rFont val="Times New Roman"/>
        <family val="1"/>
      </rPr>
      <t>: Đoạn từ giáp xã Na Tông đến đường rẽ lên bản Na Ố</t>
    </r>
  </si>
  <si>
    <r>
      <t>QL279C</t>
    </r>
    <r>
      <rPr>
        <sz val="13"/>
        <rFont val="Times New Roman"/>
        <family val="1"/>
      </rPr>
      <t>: Đoạn từ đường rẽ lên bản Na Ố đến cầu Na Phay (đường đôi)</t>
    </r>
  </si>
  <si>
    <r>
      <rPr>
        <b/>
        <sz val="13"/>
        <rFont val="Times New Roman"/>
        <family val="1"/>
      </rPr>
      <t>QL279C</t>
    </r>
    <r>
      <rPr>
        <sz val="13"/>
        <rFont val="Times New Roman"/>
        <family val="1"/>
      </rPr>
      <t>: Đoạn từ nhà ông Tòng Văn Sương (bắt đầu đường đôi) đến cầu Na Phay (đường đôi)</t>
    </r>
  </si>
  <si>
    <r>
      <t>QL279C:</t>
    </r>
    <r>
      <rPr>
        <sz val="13"/>
        <rFont val="Times New Roman"/>
        <family val="1"/>
      </rPr>
      <t xml:space="preserve"> Đoạn từ đường rẽ lên bản Na Ố đến tiếp giáp nhà ông Tòng Văn Sương (bắt đầu đường đôi)</t>
    </r>
  </si>
  <si>
    <r>
      <t>QL279C</t>
    </r>
    <r>
      <rPr>
        <sz val="13"/>
        <rFont val="Times New Roman"/>
        <family val="1"/>
      </rPr>
      <t>: Đoạn từ Cầu Na Phay đến cầu Huổi Lếch (Đường đôi)</t>
    </r>
  </si>
  <si>
    <r>
      <t>QL279C</t>
    </r>
    <r>
      <rPr>
        <sz val="13"/>
        <rFont val="Times New Roman"/>
        <family val="1"/>
      </rPr>
      <t>: Đoạn từ cầu Huổi Lếch đến phai tạm Na Hôm</t>
    </r>
  </si>
  <si>
    <r>
      <t>QL279C</t>
    </r>
    <r>
      <rPr>
        <sz val="13"/>
        <rFont val="Times New Roman"/>
        <family val="1"/>
      </rPr>
      <t>: Đoạn từ phai tạm Na Hôm đến giáp xã Phu Luông</t>
    </r>
  </si>
  <si>
    <r>
      <t>QL 12:</t>
    </r>
    <r>
      <rPr>
        <sz val="13"/>
        <rFont val="Times New Roman"/>
        <family val="1"/>
      </rPr>
      <t xml:space="preserve"> Đoạn từ giáp xã Hua Thanh đến đất nhà ông Thanh Dạ (bản Co Chạy)</t>
    </r>
  </si>
  <si>
    <r>
      <t>QL 12:</t>
    </r>
    <r>
      <rPr>
        <sz val="13"/>
        <rFont val="Times New Roman"/>
        <family val="1"/>
      </rPr>
      <t xml:space="preserve"> Đoạn từ hết đất nhà ông Thanh Dạ (bản Co Chạy) đến hết đất dân cư bản Lĩnh</t>
    </r>
  </si>
  <si>
    <r>
      <t>QL 12:</t>
    </r>
    <r>
      <rPr>
        <sz val="13"/>
        <rFont val="Times New Roman"/>
        <family val="1"/>
      </rPr>
      <t xml:space="preserve"> Đoạn từ giáp đất dân cư bản Lĩnh đến giáp xã Mường Mươn, huyện Mường Chà</t>
    </r>
  </si>
  <si>
    <r>
      <t xml:space="preserve">QL 279C: </t>
    </r>
    <r>
      <rPr>
        <sz val="13"/>
        <rFont val="Times New Roman"/>
        <family val="1"/>
      </rPr>
      <t>Đoạn từ giáp xã Mường Nhà đến cầu bản Xôm (Giáp đất nhà ông Biên)</t>
    </r>
  </si>
  <si>
    <r>
      <t xml:space="preserve">QL 279C: </t>
    </r>
    <r>
      <rPr>
        <sz val="13"/>
        <rFont val="Times New Roman"/>
        <family val="1"/>
      </rPr>
      <t>Đoạn từ cầu bản Xôm (đất nhà ông Biên) đến cầu bản Xẻ 1 (nhà ông Điện)</t>
    </r>
  </si>
  <si>
    <r>
      <t xml:space="preserve">QL 279C: </t>
    </r>
    <r>
      <rPr>
        <sz val="13"/>
        <rFont val="Times New Roman"/>
        <family val="1"/>
      </rPr>
      <t>Đoạn từ cầu bản Xẻ 1 (nhà ông Điện) đến trường THCS Phu Luông (đầu đường đôi)</t>
    </r>
  </si>
  <si>
    <r>
      <t xml:space="preserve">QL 279C: </t>
    </r>
    <r>
      <rPr>
        <sz val="13"/>
        <rFont val="Times New Roman"/>
        <family val="1"/>
      </rPr>
      <t>Đoạn đường đôi từ trường Trung học cơ sở Phu Luông đến Cầu Na Há 2</t>
    </r>
  </si>
  <si>
    <r>
      <t xml:space="preserve">QL 279C: </t>
    </r>
    <r>
      <rPr>
        <sz val="13"/>
        <rFont val="Times New Roman"/>
        <family val="1"/>
      </rPr>
      <t>Đoạn từ Cầu Na Há 2 đến hết địa phận xã Phu Luông.</t>
    </r>
  </si>
  <si>
    <r>
      <t xml:space="preserve">QL 279C: </t>
    </r>
    <r>
      <rPr>
        <sz val="13"/>
        <rFont val="Times New Roman"/>
        <family val="1"/>
      </rPr>
      <t>Đoạn từ giáp địa phận xã Phu Luông đến giáp Đồn Biên phòng 433</t>
    </r>
  </si>
  <si>
    <r>
      <t xml:space="preserve">QL 279C: </t>
    </r>
    <r>
      <rPr>
        <sz val="13"/>
        <rFont val="Times New Roman"/>
        <family val="1"/>
      </rPr>
      <t>Đoạn từ đất  Đồn Biên phòng 433 đến ngã 3 đi Sơn La</t>
    </r>
  </si>
  <si>
    <r>
      <t xml:space="preserve">QL 279C: </t>
    </r>
    <r>
      <rPr>
        <sz val="13"/>
        <rFont val="Times New Roman"/>
        <family val="1"/>
      </rPr>
      <t>Đoạn từ ngã 3 đi Sơn La đến ngầm suối Huổi Na</t>
    </r>
  </si>
  <si>
    <r>
      <t xml:space="preserve">QL 279C: </t>
    </r>
    <r>
      <rPr>
        <sz val="13"/>
        <rFont val="Times New Roman"/>
        <family val="1"/>
      </rPr>
      <t>Đoạn từ  ngầm suối Huổi Na đến giáp ranh giới Việt Nam - Lào</t>
    </r>
  </si>
  <si>
    <r>
      <t xml:space="preserve">Đường đi Xốp Cộp Sơn La: </t>
    </r>
    <r>
      <rPr>
        <sz val="13"/>
        <rFont val="Times New Roman"/>
        <family val="1"/>
      </rPr>
      <t>Đoạn từ ngã 3 Sơn La đến hết khu dân cư bản Lói</t>
    </r>
  </si>
  <si>
    <r>
      <t xml:space="preserve">Đường đi Xốp Cộp Sơn La: </t>
    </r>
    <r>
      <rPr>
        <sz val="13"/>
        <rFont val="Times New Roman"/>
        <family val="1"/>
      </rPr>
      <t>Đoạn từ giáp khu dân cư bản Lói đến giáp Xốp Cộp - Sơn La</t>
    </r>
  </si>
  <si>
    <r>
      <t>QL 279:</t>
    </r>
    <r>
      <rPr>
        <sz val="13"/>
        <rFont val="Times New Roman"/>
        <family val="1"/>
      </rPr>
      <t xml:space="preserve"> Đoạn từ giáp xã Pom Lót đến biên giới Việt Nam - Lào</t>
    </r>
  </si>
  <si>
    <r>
      <t xml:space="preserve">Đường vào trung tâm xã: </t>
    </r>
    <r>
      <rPr>
        <sz val="13"/>
        <rFont val="Times New Roman"/>
        <family val="1"/>
      </rPr>
      <t>Đoạn từ hết vị trí 3 QL 279 đến cống bê tông (đầu bản Na Ư)</t>
    </r>
  </si>
  <si>
    <r>
      <t xml:space="preserve">Khu trung tâm xã: </t>
    </r>
    <r>
      <rPr>
        <sz val="13"/>
        <rFont val="Times New Roman"/>
        <family val="1"/>
      </rPr>
      <t>Đoạn từ cống bê tông (đầu bản Na Ư) đi vào bản đến mương bê tông (hết Trường Mầm non); ngã rẽ đi Púng Bửa đến đỉnh Yên ngựa cây me</t>
    </r>
  </si>
  <si>
    <r>
      <t>UBND huyện tổ chức đấu giá lại (thửa đất giảm diện tích do ảnh hưởng bởi kè bảo vệ công trình)-</t>
    </r>
    <r>
      <rPr>
        <u/>
        <sz val="13"/>
        <rFont val="Times New Roman"/>
        <family val="1"/>
      </rPr>
      <t>đã đấu giá</t>
    </r>
  </si>
  <si>
    <r>
      <t>Thửa đất 36,40 chuyển sang giao đất tái định cư; Thửa đất 41 giảm diện tích do ảnh hưởng bởi kè bảo vệ công trình-</t>
    </r>
    <r>
      <rPr>
        <u/>
        <sz val="13"/>
        <rFont val="Times New Roman"/>
        <family val="1"/>
      </rPr>
      <t>chưa đấu được</t>
    </r>
  </si>
  <si>
    <r>
      <t>Thửa đất chuyển sang giao đất tái định cư-</t>
    </r>
    <r>
      <rPr>
        <u/>
        <sz val="13"/>
        <rFont val="Times New Roman"/>
        <family val="1"/>
      </rPr>
      <t>chưa đấu được</t>
    </r>
  </si>
  <si>
    <t>Đường nội bộ 13m (Lô LK2 + LK3 + LK15 + LK16 + LK17 + LK18 + LK19 + LK21)</t>
  </si>
  <si>
    <t>Đường nội bộ 11m (Các lô LK4 + LK5 + LK6+ LK7 + LK14 + LK15)</t>
  </si>
  <si>
    <r>
      <t>QL 279:</t>
    </r>
    <r>
      <rPr>
        <sz val="13"/>
        <rFont val="Times New Roman"/>
        <family val="1"/>
      </rPr>
      <t xml:space="preserve"> Đoạn từ cống bê tông thoát nước (giáp đất ông Nguyễn Văn Cường, đối diện là giáp đất ông Hoàng Hán Thăng) đến đường đi vào thôn 9, đối diện là ngõ vào nhà ông Lò Văn Thanh</t>
    </r>
  </si>
  <si>
    <t xml:space="preserve">Đường đi pa thơm: Từ đất nhà bà Chấn (thửa 123, tờ bản đồ 24-E) đến hết ao ông Muôn (thửa đất số 243, tờ bản đồ 24-E)
</t>
  </si>
  <si>
    <r>
      <t>ĐVT: 1.000 đồng/m</t>
    </r>
    <r>
      <rPr>
        <i/>
        <vertAlign val="superscript"/>
        <sz val="13"/>
        <rFont val="Times New Roman"/>
        <family val="1"/>
      </rPr>
      <t>2</t>
    </r>
  </si>
  <si>
    <t>a</t>
  </si>
  <si>
    <t>b</t>
  </si>
  <si>
    <t>c</t>
  </si>
  <si>
    <t>d</t>
  </si>
  <si>
    <t>đ</t>
  </si>
  <si>
    <t>e</t>
  </si>
  <si>
    <t>g</t>
  </si>
  <si>
    <t>h</t>
  </si>
  <si>
    <t>5.8</t>
  </si>
  <si>
    <t>5.9</t>
  </si>
  <si>
    <t>Khu tái định cư tại bản Mường tỉnh A:</t>
  </si>
  <si>
    <t>i</t>
  </si>
  <si>
    <t>PHỤ LỤC IV: BẢNG GIÁ ĐẤT Ở TẠI NÔNG THÔN</t>
  </si>
  <si>
    <t>1. THÀNH PHỐ ĐIỆN BIÊN PHỦ</t>
  </si>
  <si>
    <t>2. HUYỆN ĐIỆN BIÊN</t>
  </si>
  <si>
    <t>3. HUYỆN ĐIỆN BIÊN ĐÔNG</t>
  </si>
  <si>
    <t>4. HUYỆN MƯỜNG ẢNG</t>
  </si>
  <si>
    <t>5. HUYỆN TUẦN GIÁO</t>
  </si>
  <si>
    <t>6. HUYỆN MƯỜNG NHÉ</t>
  </si>
  <si>
    <t>7. HUYỆN MƯỜNG CHÀ</t>
  </si>
  <si>
    <t>8. HUYỆN NẬM PỒ</t>
  </si>
  <si>
    <t>9. HUYỆN TỦA CHÙA</t>
  </si>
  <si>
    <t>10. THỊ XÃ MƯỜNG LAY</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</si>
</sst>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0.00\ _₫_-;\-* #,##0.00\ _₫_-;_-* &quot;-&quot;??\ _₫_-;_-@_-"/>
    <numFmt numFmtId="165" formatCode="0.0"/>
    <numFmt numFmtId="166" formatCode="#,##0.0"/>
    <numFmt numFmtId="167" formatCode="_(* #,##0_);_(* \(#,##0\);_(* &quot;-&quot;??_);_(@_)"/>
    <numFmt numFmtId="168" formatCode="0.00000000000"/>
    <numFmt numFmtId="169" formatCode="#,##0;[Red]#,##0"/>
    <numFmt numFmtId="170" formatCode="0.0%"/>
    <numFmt numFmtId="171" formatCode="0.000"/>
    <numFmt numFmtId="172" formatCode="_(* #,##0.000_);_(* \(#,##0.000\);_(* &quot;-&quot;??_);_(@_)"/>
  </numFmts>
  <fonts count="23" x14ac:knownFonts="1">
    <font>
      <sz val="11"/>
      <color theme="1"/>
      <name val="Calibri"/>
      <family val="2"/>
      <scheme val="minor"/>
    </font>
    <font>
      <sz val="14"/>
      <color theme="1"/>
      <name val="Times New Roman"/>
      <family val="2"/>
      <charset val="163"/>
    </font>
    <font>
      <sz val="10"/>
      <name val="Arial"/>
      <family val="2"/>
    </font>
    <font>
      <b/>
      <sz val="14"/>
      <name val="Times New Roman"/>
      <family val="1"/>
    </font>
    <font>
      <sz val="14"/>
      <name val="Times New Roman"/>
      <family val="1"/>
    </font>
    <font>
      <sz val="12"/>
      <name val="Times New Roman"/>
      <family val="1"/>
    </font>
    <font>
      <b/>
      <sz val="12"/>
      <name val="Times New Roman"/>
      <family val="1"/>
    </font>
    <font>
      <i/>
      <sz val="12"/>
      <name val="Times New Roman"/>
      <family val="1"/>
    </font>
    <font>
      <sz val="13"/>
      <name val="Times New Roman"/>
      <family val="1"/>
    </font>
    <font>
      <sz val="12"/>
      <color rgb="FFFF0000"/>
      <name val="Times New Roman"/>
      <family val="1"/>
    </font>
    <font>
      <b/>
      <sz val="13"/>
      <name val="Times New Roman"/>
      <family val="1"/>
    </font>
    <font>
      <i/>
      <sz val="13"/>
      <name val="Times New Roman"/>
      <family val="1"/>
    </font>
    <font>
      <sz val="11"/>
      <color theme="1"/>
      <name val="Calibri"/>
      <family val="2"/>
      <scheme val="minor"/>
    </font>
    <font>
      <i/>
      <sz val="14"/>
      <name val="Times New Roman"/>
      <family val="1"/>
    </font>
    <font>
      <sz val="13"/>
      <color theme="1"/>
      <name val="Times New Roman"/>
      <family val="1"/>
    </font>
    <font>
      <sz val="14"/>
      <name val=".VnTime"/>
      <family val="2"/>
    </font>
    <font>
      <i/>
      <sz val="13"/>
      <color theme="1"/>
      <name val="Times New Roman"/>
      <family val="1"/>
    </font>
    <font>
      <sz val="12"/>
      <name val="Times New Roman"/>
      <family val="1"/>
    </font>
    <font>
      <sz val="11"/>
      <color indexed="8"/>
      <name val="Calibri"/>
      <family val="2"/>
    </font>
    <font>
      <sz val="11"/>
      <name val="Calibri"/>
      <family val="2"/>
      <scheme val="minor"/>
    </font>
    <font>
      <u/>
      <sz val="13"/>
      <name val="Times New Roman"/>
      <family val="1"/>
    </font>
    <font>
      <i/>
      <vertAlign val="superscript"/>
      <sz val="13"/>
      <name val="Times New Roman"/>
      <family val="1"/>
    </font>
    <font>
      <b/>
      <i/>
      <sz val="13"/>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23">
    <xf numFmtId="0" fontId="0"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2" fillId="0" borderId="0"/>
    <xf numFmtId="0" fontId="2" fillId="0" borderId="0"/>
    <xf numFmtId="164" fontId="1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2" fillId="0" borderId="0" applyFont="0" applyFill="0" applyBorder="0" applyAlignment="0" applyProtection="0"/>
    <xf numFmtId="43" fontId="5" fillId="0" borderId="0" applyFont="0" applyFill="0" applyBorder="0" applyAlignment="0" applyProtection="0"/>
    <xf numFmtId="0" fontId="15" fillId="0" borderId="0"/>
    <xf numFmtId="9" fontId="15" fillId="0" borderId="0" applyFont="0" applyFill="0" applyBorder="0" applyAlignment="0" applyProtection="0"/>
    <xf numFmtId="0" fontId="17" fillId="0" borderId="0"/>
    <xf numFmtId="43" fontId="5"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0" fontId="2" fillId="0" borderId="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5" fillId="0" borderId="0"/>
  </cellStyleXfs>
  <cellXfs count="370">
    <xf numFmtId="0" fontId="0" fillId="0" borderId="0" xfId="0"/>
    <xf numFmtId="0" fontId="14" fillId="0" borderId="0" xfId="12" applyFont="1"/>
    <xf numFmtId="0" fontId="10" fillId="0" borderId="1" xfId="12" applyFont="1" applyBorder="1" applyAlignment="1">
      <alignment horizontal="left" vertical="center"/>
    </xf>
    <xf numFmtId="0" fontId="10" fillId="0" borderId="1" xfId="12" applyFont="1" applyBorder="1" applyAlignment="1">
      <alignment vertical="center" wrapText="1"/>
    </xf>
    <xf numFmtId="0" fontId="8" fillId="0" borderId="1" xfId="12" applyFont="1" applyBorder="1" applyAlignment="1">
      <alignment horizontal="center" vertical="center"/>
    </xf>
    <xf numFmtId="0" fontId="8" fillId="0" borderId="1" xfId="12" applyFont="1" applyBorder="1" applyAlignment="1">
      <alignment horizontal="left" vertical="center" wrapText="1"/>
    </xf>
    <xf numFmtId="0" fontId="8" fillId="0" borderId="1" xfId="12" applyFont="1" applyBorder="1" applyAlignment="1">
      <alignment horizontal="right" vertical="center"/>
    </xf>
    <xf numFmtId="0" fontId="8" fillId="0" borderId="1" xfId="12" applyFont="1" applyBorder="1" applyAlignment="1">
      <alignment horizontal="left" vertical="center"/>
    </xf>
    <xf numFmtId="0" fontId="8" fillId="0" borderId="1" xfId="12" applyFont="1" applyBorder="1" applyAlignment="1">
      <alignment vertical="center" wrapText="1"/>
    </xf>
    <xf numFmtId="0" fontId="8" fillId="0" borderId="6" xfId="12" applyFont="1" applyBorder="1" applyAlignment="1">
      <alignment horizontal="left" vertical="center"/>
    </xf>
    <xf numFmtId="0" fontId="8" fillId="0" borderId="0" xfId="12" applyFont="1"/>
    <xf numFmtId="0" fontId="14" fillId="2" borderId="0" xfId="12" applyFont="1" applyFill="1"/>
    <xf numFmtId="0" fontId="16" fillId="2" borderId="0" xfId="12" applyFont="1" applyFill="1" applyAlignment="1">
      <alignment horizontal="left"/>
    </xf>
    <xf numFmtId="0" fontId="5" fillId="0" borderId="0" xfId="0" applyFont="1" applyAlignment="1">
      <alignment horizontal="center" vertical="center" wrapText="1"/>
    </xf>
    <xf numFmtId="2" fontId="5" fillId="0" borderId="0" xfId="0" applyNumberFormat="1" applyFont="1" applyAlignment="1">
      <alignment horizontal="center" vertical="center" wrapText="1"/>
    </xf>
    <xf numFmtId="0" fontId="7" fillId="0" borderId="0" xfId="0" applyFont="1" applyAlignment="1">
      <alignment vertical="center" wrapText="1"/>
    </xf>
    <xf numFmtId="0" fontId="6" fillId="0" borderId="0" xfId="0" applyFont="1" applyAlignment="1">
      <alignment horizontal="center" vertical="center" wrapText="1"/>
    </xf>
    <xf numFmtId="0" fontId="5" fillId="0" borderId="0" xfId="0" applyFont="1" applyAlignment="1">
      <alignment horizontal="left" vertical="center" wrapText="1"/>
    </xf>
    <xf numFmtId="0" fontId="9" fillId="0" borderId="0" xfId="0" applyFont="1" applyAlignment="1">
      <alignment horizontal="center" vertical="center" wrapText="1"/>
    </xf>
    <xf numFmtId="2" fontId="9" fillId="0" borderId="0" xfId="0" applyNumberFormat="1" applyFont="1" applyAlignment="1">
      <alignment horizontal="center" vertical="center" wrapText="1"/>
    </xf>
    <xf numFmtId="0" fontId="5" fillId="0" borderId="0" xfId="0" applyFont="1" applyAlignment="1">
      <alignment vertical="center" wrapText="1"/>
    </xf>
    <xf numFmtId="0" fontId="4" fillId="0" borderId="0" xfId="0" applyFont="1" applyAlignment="1">
      <alignment horizontal="center" vertical="center" wrapText="1"/>
    </xf>
    <xf numFmtId="0" fontId="4" fillId="0" borderId="0" xfId="0" applyFont="1"/>
    <xf numFmtId="0" fontId="4" fillId="0" borderId="0" xfId="7" applyFont="1" applyAlignment="1">
      <alignment vertical="center"/>
    </xf>
    <xf numFmtId="0" fontId="10" fillId="0" borderId="0" xfId="2" applyFont="1" applyAlignment="1">
      <alignment horizontal="centerContinuous" vertical="center" wrapText="1"/>
    </xf>
    <xf numFmtId="0" fontId="4" fillId="0" borderId="0" xfId="7" applyFont="1" applyAlignment="1">
      <alignment horizontal="center" vertical="center"/>
    </xf>
    <xf numFmtId="0" fontId="3" fillId="0" borderId="0" xfId="7" applyFont="1" applyAlignment="1">
      <alignment vertical="center"/>
    </xf>
    <xf numFmtId="167" fontId="5" fillId="0" borderId="7" xfId="6" applyNumberFormat="1" applyFont="1" applyFill="1" applyBorder="1" applyAlignment="1">
      <alignment horizontal="right" vertical="center" wrapText="1"/>
    </xf>
    <xf numFmtId="0" fontId="10" fillId="0" borderId="1" xfId="12" applyFont="1" applyBorder="1" applyAlignment="1">
      <alignment horizontal="center" vertical="center" wrapText="1"/>
    </xf>
    <xf numFmtId="0" fontId="10" fillId="0" borderId="1" xfId="12" applyFont="1" applyBorder="1" applyAlignment="1">
      <alignment horizontal="center" vertical="center"/>
    </xf>
    <xf numFmtId="0" fontId="3" fillId="0" borderId="0" xfId="0" applyFont="1" applyAlignment="1">
      <alignment horizontal="center" vertical="center"/>
    </xf>
    <xf numFmtId="0" fontId="11" fillId="0" borderId="0" xfId="0" applyFont="1" applyAlignment="1">
      <alignment horizontal="center"/>
    </xf>
    <xf numFmtId="0" fontId="5" fillId="0" borderId="7" xfId="0" applyFont="1" applyBorder="1" applyAlignment="1">
      <alignment horizontal="center" vertical="center" wrapText="1"/>
    </xf>
    <xf numFmtId="0" fontId="3" fillId="0" borderId="0" xfId="2" applyFont="1" applyAlignment="1">
      <alignment vertical="center"/>
    </xf>
    <xf numFmtId="3" fontId="5" fillId="0" borderId="7" xfId="0" applyNumberFormat="1" applyFont="1" applyBorder="1" applyAlignment="1">
      <alignment horizontal="right" vertical="center" wrapText="1"/>
    </xf>
    <xf numFmtId="0" fontId="6" fillId="0" borderId="0" xfId="0" applyFont="1"/>
    <xf numFmtId="0" fontId="5" fillId="0" borderId="0" xfId="0" applyFont="1"/>
    <xf numFmtId="170" fontId="5" fillId="0" borderId="0" xfId="0" applyNumberFormat="1" applyFont="1"/>
    <xf numFmtId="9" fontId="5" fillId="0" borderId="0" xfId="0" applyNumberFormat="1" applyFont="1"/>
    <xf numFmtId="1" fontId="5" fillId="0" borderId="0" xfId="0" applyNumberFormat="1" applyFont="1"/>
    <xf numFmtId="165" fontId="5" fillId="0" borderId="0" xfId="0" applyNumberFormat="1" applyFont="1" applyAlignment="1">
      <alignment horizontal="right" vertical="center"/>
    </xf>
    <xf numFmtId="0" fontId="5" fillId="0" borderId="0" xfId="0" applyFont="1" applyAlignment="1">
      <alignment horizontal="center" vertical="center"/>
    </xf>
    <xf numFmtId="0" fontId="6" fillId="0" borderId="0" xfId="0" applyFont="1" applyAlignment="1">
      <alignment horizontal="center"/>
    </xf>
    <xf numFmtId="0" fontId="5" fillId="0" borderId="7" xfId="0" applyFont="1" applyBorder="1" applyAlignment="1">
      <alignment vertical="center" wrapText="1"/>
    </xf>
    <xf numFmtId="165" fontId="5" fillId="0" borderId="0" xfId="0" applyNumberFormat="1" applyFont="1" applyAlignment="1">
      <alignment horizontal="right"/>
    </xf>
    <xf numFmtId="0" fontId="19" fillId="0" borderId="0" xfId="0" applyFont="1"/>
    <xf numFmtId="0" fontId="11" fillId="0" borderId="0" xfId="0" applyFont="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left" vertical="center" wrapText="1"/>
    </xf>
    <xf numFmtId="3" fontId="8" fillId="0" borderId="1" xfId="2" applyNumberFormat="1" applyFont="1" applyBorder="1" applyAlignment="1">
      <alignment horizontal="center" vertical="center"/>
    </xf>
    <xf numFmtId="3" fontId="8" fillId="0" borderId="1" xfId="2" applyNumberFormat="1" applyFont="1" applyBorder="1"/>
    <xf numFmtId="0" fontId="8" fillId="0" borderId="1" xfId="2" applyFont="1" applyBorder="1" applyAlignment="1">
      <alignment horizontal="center" vertical="center" wrapText="1"/>
    </xf>
    <xf numFmtId="0" fontId="8" fillId="0" borderId="1" xfId="2" applyFont="1" applyBorder="1" applyAlignment="1">
      <alignment vertical="center" wrapText="1"/>
    </xf>
    <xf numFmtId="169" fontId="8" fillId="0" borderId="1" xfId="2" applyNumberFormat="1" applyFont="1" applyBorder="1" applyAlignment="1">
      <alignment horizontal="right" vertical="center"/>
    </xf>
    <xf numFmtId="3" fontId="8" fillId="0" borderId="1" xfId="2" applyNumberFormat="1" applyFont="1" applyBorder="1" applyAlignment="1">
      <alignment horizontal="right" vertical="center"/>
    </xf>
    <xf numFmtId="0" fontId="8" fillId="0" borderId="1" xfId="2" applyFont="1" applyBorder="1"/>
    <xf numFmtId="0" fontId="8" fillId="0" borderId="1" xfId="2" applyFont="1" applyBorder="1" applyAlignment="1">
      <alignment horizontal="left" vertical="center" wrapText="1"/>
    </xf>
    <xf numFmtId="3" fontId="8" fillId="0" borderId="1" xfId="0" applyNumberFormat="1" applyFont="1" applyBorder="1" applyAlignment="1">
      <alignment horizontal="right" vertical="center" wrapText="1"/>
    </xf>
    <xf numFmtId="0" fontId="10" fillId="0" borderId="1" xfId="2" applyFont="1" applyBorder="1" applyAlignment="1">
      <alignment vertical="center" wrapText="1"/>
    </xf>
    <xf numFmtId="3" fontId="10" fillId="0" borderId="1" xfId="2" applyNumberFormat="1" applyFont="1" applyBorder="1" applyAlignment="1">
      <alignment vertical="center" wrapText="1"/>
    </xf>
    <xf numFmtId="3" fontId="10" fillId="0" borderId="1" xfId="2"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167" fontId="8" fillId="0" borderId="1" xfId="1" applyNumberFormat="1" applyFont="1" applyFill="1" applyBorder="1" applyAlignment="1">
      <alignment horizontal="center" vertical="center" wrapText="1"/>
    </xf>
    <xf numFmtId="167"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xf numFmtId="167" fontId="8" fillId="0" borderId="0" xfId="0" applyNumberFormat="1" applyFont="1" applyAlignment="1">
      <alignment horizontal="center" vertical="center" wrapText="1"/>
    </xf>
    <xf numFmtId="0" fontId="10" fillId="0" borderId="1" xfId="0" applyFont="1" applyBorder="1" applyAlignment="1">
      <alignment horizontal="left" vertical="center" wrapText="1"/>
    </xf>
    <xf numFmtId="43" fontId="8" fillId="0" borderId="0" xfId="0" applyNumberFormat="1" applyFont="1" applyAlignment="1">
      <alignment horizontal="center" vertical="center" wrapText="1"/>
    </xf>
    <xf numFmtId="0" fontId="10" fillId="0" borderId="1" xfId="0" applyFont="1" applyBorder="1" applyAlignment="1">
      <alignment horizontal="center" vertical="center"/>
    </xf>
    <xf numFmtId="0" fontId="10" fillId="0" borderId="1" xfId="2" applyFont="1" applyBorder="1" applyAlignment="1">
      <alignment horizontal="center" vertical="center"/>
    </xf>
    <xf numFmtId="0" fontId="8" fillId="0" borderId="1" xfId="2" applyFont="1" applyBorder="1" applyAlignment="1">
      <alignment horizontal="center" vertical="center"/>
    </xf>
    <xf numFmtId="2" fontId="8" fillId="0" borderId="0" xfId="0" applyNumberFormat="1" applyFont="1"/>
    <xf numFmtId="1" fontId="8" fillId="0" borderId="0" xfId="0" applyNumberFormat="1" applyFont="1"/>
    <xf numFmtId="3" fontId="8" fillId="0" borderId="1" xfId="0" applyNumberFormat="1" applyFont="1" applyBorder="1" applyAlignment="1">
      <alignment horizontal="center" vertical="center" wrapText="1"/>
    </xf>
    <xf numFmtId="167" fontId="8" fillId="0" borderId="1" xfId="3" applyNumberFormat="1" applyFont="1" applyFill="1" applyBorder="1" applyAlignment="1">
      <alignment horizontal="center" vertical="center" wrapText="1"/>
    </xf>
    <xf numFmtId="2" fontId="4" fillId="0" borderId="0" xfId="0" applyNumberFormat="1" applyFont="1" applyAlignment="1">
      <alignment horizontal="center" vertical="center" wrapText="1"/>
    </xf>
    <xf numFmtId="0" fontId="10" fillId="0" borderId="0" xfId="0" applyFont="1" applyAlignment="1">
      <alignment vertical="center"/>
    </xf>
    <xf numFmtId="0" fontId="10" fillId="0" borderId="0" xfId="0" applyFont="1" applyAlignment="1">
      <alignment horizontal="left" vertical="center" wrapText="1"/>
    </xf>
    <xf numFmtId="0" fontId="10" fillId="0" borderId="5" xfId="0" applyFont="1" applyBorder="1" applyAlignment="1">
      <alignment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vertical="center" wrapText="1"/>
    </xf>
    <xf numFmtId="0" fontId="8" fillId="0" borderId="0" xfId="0" applyFont="1" applyAlignment="1">
      <alignment horizontal="center" vertical="center"/>
    </xf>
    <xf numFmtId="0" fontId="11" fillId="0" borderId="5" xfId="0" applyFont="1" applyBorder="1" applyAlignment="1">
      <alignment vertical="center" wrapText="1"/>
    </xf>
    <xf numFmtId="0" fontId="11" fillId="0" borderId="0" xfId="0" applyFont="1" applyAlignment="1">
      <alignment vertical="center" wrapText="1"/>
    </xf>
    <xf numFmtId="0" fontId="8" fillId="0" borderId="6" xfId="0" applyFont="1" applyBorder="1" applyAlignment="1">
      <alignment horizontal="center" vertical="center" wrapText="1"/>
    </xf>
    <xf numFmtId="3" fontId="8" fillId="0" borderId="1" xfId="0" applyNumberFormat="1" applyFont="1" applyBorder="1" applyAlignment="1">
      <alignment vertical="center" wrapText="1"/>
    </xf>
    <xf numFmtId="0" fontId="8" fillId="0" borderId="1" xfId="0" applyFont="1" applyBorder="1" applyAlignment="1">
      <alignment vertical="center" wrapText="1"/>
    </xf>
    <xf numFmtId="0" fontId="10" fillId="0" borderId="6" xfId="0" applyFont="1" applyBorder="1" applyAlignment="1">
      <alignment vertical="center" wrapText="1"/>
    </xf>
    <xf numFmtId="3" fontId="8" fillId="0" borderId="6" xfId="0" applyNumberFormat="1" applyFont="1" applyBorder="1" applyAlignment="1">
      <alignment horizontal="center" vertical="center" wrapText="1"/>
    </xf>
    <xf numFmtId="3" fontId="8" fillId="0" borderId="6" xfId="0" applyNumberFormat="1" applyFont="1" applyBorder="1" applyAlignment="1">
      <alignment vertical="center" wrapText="1"/>
    </xf>
    <xf numFmtId="2" fontId="8" fillId="0" borderId="0" xfId="0" applyNumberFormat="1" applyFont="1" applyAlignment="1">
      <alignment horizontal="center" vertical="center" wrapText="1"/>
    </xf>
    <xf numFmtId="0" fontId="10" fillId="0" borderId="6" xfId="0" applyFont="1" applyBorder="1" applyAlignment="1">
      <alignment horizontal="left" vertical="center" wrapText="1"/>
    </xf>
    <xf numFmtId="0" fontId="8" fillId="0" borderId="6" xfId="0" applyFont="1" applyBorder="1" applyAlignment="1">
      <alignment horizontal="left" vertical="center" wrapText="1"/>
    </xf>
    <xf numFmtId="0" fontId="8" fillId="0" borderId="1" xfId="0" applyFont="1" applyBorder="1" applyAlignment="1">
      <alignment horizontal="right" vertical="center" wrapText="1"/>
    </xf>
    <xf numFmtId="0" fontId="8" fillId="0" borderId="1" xfId="0" applyFont="1" applyBorder="1"/>
    <xf numFmtId="0" fontId="8" fillId="3" borderId="1" xfId="0" applyFont="1" applyFill="1" applyBorder="1" applyAlignment="1">
      <alignment horizontal="center" vertical="center" wrapText="1"/>
    </xf>
    <xf numFmtId="165" fontId="8" fillId="0" borderId="0" xfId="0" applyNumberFormat="1" applyFont="1" applyAlignment="1">
      <alignment horizontal="center" vertical="center" wrapText="1"/>
    </xf>
    <xf numFmtId="168" fontId="8" fillId="0" borderId="0" xfId="0" applyNumberFormat="1" applyFont="1" applyAlignment="1">
      <alignment horizontal="center" vertical="center" wrapText="1"/>
    </xf>
    <xf numFmtId="3" fontId="8" fillId="0" borderId="0" xfId="0" applyNumberFormat="1" applyFont="1" applyAlignment="1">
      <alignment horizontal="center" vertical="center" wrapText="1"/>
    </xf>
    <xf numFmtId="0" fontId="8" fillId="0" borderId="1" xfId="0" applyFont="1" applyBorder="1" applyAlignment="1">
      <alignment horizontal="left" vertical="top" wrapText="1"/>
    </xf>
    <xf numFmtId="3" fontId="8" fillId="0" borderId="2" xfId="0" applyNumberFormat="1" applyFont="1" applyBorder="1" applyAlignment="1">
      <alignment vertical="center" wrapText="1"/>
    </xf>
    <xf numFmtId="3" fontId="8" fillId="0" borderId="3" xfId="0" applyNumberFormat="1" applyFont="1" applyBorder="1" applyAlignment="1">
      <alignment vertical="center" wrapText="1"/>
    </xf>
    <xf numFmtId="3" fontId="8" fillId="0" borderId="4" xfId="0" applyNumberFormat="1" applyFont="1" applyBorder="1" applyAlignment="1">
      <alignment vertical="center" wrapText="1"/>
    </xf>
    <xf numFmtId="3" fontId="8" fillId="0" borderId="6" xfId="0" applyNumberFormat="1" applyFont="1" applyBorder="1" applyAlignment="1">
      <alignment horizontal="right" vertical="center" wrapText="1"/>
    </xf>
    <xf numFmtId="1" fontId="8" fillId="0" borderId="0" xfId="0" applyNumberFormat="1" applyFont="1" applyAlignment="1">
      <alignment horizontal="center" vertical="center" wrapText="1"/>
    </xf>
    <xf numFmtId="0" fontId="8" fillId="0" borderId="0" xfId="0" applyFont="1" applyAlignment="1">
      <alignment horizontal="left" vertical="center" wrapText="1"/>
    </xf>
    <xf numFmtId="3" fontId="8" fillId="2" borderId="1" xfId="0" applyNumberFormat="1" applyFont="1" applyFill="1" applyBorder="1" applyAlignment="1">
      <alignment vertical="center" wrapText="1"/>
    </xf>
    <xf numFmtId="0" fontId="10" fillId="2" borderId="1" xfId="0" applyFont="1" applyFill="1" applyBorder="1" applyAlignment="1">
      <alignment horizontal="left" vertical="center" wrapText="1"/>
    </xf>
    <xf numFmtId="3" fontId="10" fillId="0" borderId="1" xfId="0" applyNumberFormat="1" applyFont="1" applyBorder="1" applyAlignment="1">
      <alignment vertical="center" wrapText="1"/>
    </xf>
    <xf numFmtId="2" fontId="10" fillId="0" borderId="1" xfId="0" applyNumberFormat="1" applyFont="1" applyBorder="1" applyAlignment="1">
      <alignment horizontal="left" vertical="center" wrapText="1"/>
    </xf>
    <xf numFmtId="166" fontId="8" fillId="0" borderId="1" xfId="0" applyNumberFormat="1" applyFont="1" applyBorder="1" applyAlignment="1">
      <alignment vertical="center" wrapText="1"/>
    </xf>
    <xf numFmtId="0" fontId="8" fillId="0" borderId="1" xfId="0" applyFont="1" applyBorder="1" applyAlignment="1">
      <alignment wrapText="1"/>
    </xf>
    <xf numFmtId="0" fontId="8" fillId="0" borderId="1" xfId="0" applyFont="1" applyBorder="1" applyAlignment="1">
      <alignment horizontal="left" wrapText="1"/>
    </xf>
    <xf numFmtId="0" fontId="8" fillId="2" borderId="1" xfId="0" applyFont="1" applyFill="1" applyBorder="1" applyAlignment="1">
      <alignment horizontal="left" vertical="center" wrapText="1"/>
    </xf>
    <xf numFmtId="0" fontId="8" fillId="0" borderId="0" xfId="4" applyFont="1" applyAlignment="1">
      <alignment horizontal="center" vertical="center" wrapText="1"/>
    </xf>
    <xf numFmtId="0" fontId="10" fillId="0" borderId="5" xfId="4" applyFont="1" applyBorder="1" applyAlignment="1">
      <alignment horizontal="center" vertical="center" wrapText="1"/>
    </xf>
    <xf numFmtId="0" fontId="10" fillId="0" borderId="1" xfId="4" applyFont="1" applyBorder="1" applyAlignment="1">
      <alignment horizontal="center" vertical="center" wrapText="1"/>
    </xf>
    <xf numFmtId="0" fontId="10" fillId="0" borderId="0" xfId="4" applyFont="1" applyAlignment="1">
      <alignment horizontal="center" vertical="center" wrapText="1"/>
    </xf>
    <xf numFmtId="0" fontId="10" fillId="0" borderId="1" xfId="4" applyFont="1" applyBorder="1" applyAlignment="1">
      <alignment horizontal="left" vertical="center" wrapText="1"/>
    </xf>
    <xf numFmtId="0" fontId="8" fillId="0" borderId="1" xfId="4" applyFont="1" applyBorder="1" applyAlignment="1">
      <alignment horizontal="center" vertical="center" wrapText="1"/>
    </xf>
    <xf numFmtId="0" fontId="8" fillId="0" borderId="1" xfId="4" applyFont="1" applyBorder="1" applyAlignment="1">
      <alignment horizontal="left" vertical="center" wrapText="1"/>
    </xf>
    <xf numFmtId="3" fontId="8" fillId="0" borderId="1" xfId="3" applyNumberFormat="1" applyFont="1" applyFill="1" applyBorder="1" applyAlignment="1">
      <alignment horizontal="center" vertical="center" wrapText="1"/>
    </xf>
    <xf numFmtId="3" fontId="8" fillId="0" borderId="1" xfId="4" applyNumberFormat="1" applyFont="1" applyBorder="1" applyAlignment="1">
      <alignment horizontal="center" vertical="center" wrapText="1"/>
    </xf>
    <xf numFmtId="0" fontId="8" fillId="0" borderId="1" xfId="4" quotePrefix="1" applyFont="1" applyBorder="1" applyAlignment="1">
      <alignment horizontal="left" vertical="center" wrapText="1"/>
    </xf>
    <xf numFmtId="1" fontId="8" fillId="0" borderId="1" xfId="4" applyNumberFormat="1" applyFont="1" applyBorder="1" applyAlignment="1">
      <alignment horizontal="center" vertical="center" wrapText="1"/>
    </xf>
    <xf numFmtId="0" fontId="8" fillId="0" borderId="0" xfId="4" applyFont="1" applyAlignment="1">
      <alignment horizontal="left" vertical="center" wrapText="1"/>
    </xf>
    <xf numFmtId="0" fontId="8" fillId="0" borderId="1" xfId="0" applyFont="1" applyBorder="1" applyAlignment="1">
      <alignment horizontal="left" vertical="center"/>
    </xf>
    <xf numFmtId="2" fontId="8" fillId="0" borderId="1" xfId="4" quotePrefix="1" applyNumberFormat="1" applyFont="1" applyBorder="1" applyAlignment="1">
      <alignment horizontal="left" vertical="center" wrapText="1"/>
    </xf>
    <xf numFmtId="1" fontId="10" fillId="0" borderId="1" xfId="4" applyNumberFormat="1" applyFont="1" applyBorder="1" applyAlignment="1">
      <alignment horizontal="center" vertical="center" wrapText="1"/>
    </xf>
    <xf numFmtId="167" fontId="8" fillId="0" borderId="0" xfId="3" applyNumberFormat="1" applyFont="1" applyFill="1" applyAlignment="1">
      <alignment horizontal="center" vertical="center" wrapText="1"/>
    </xf>
    <xf numFmtId="43" fontId="8" fillId="0" borderId="0" xfId="3" applyFont="1" applyFill="1" applyBorder="1" applyAlignment="1">
      <alignment horizontal="left" vertical="center" wrapText="1"/>
    </xf>
    <xf numFmtId="0" fontId="8" fillId="0" borderId="0" xfId="7" applyFont="1" applyAlignment="1">
      <alignment vertical="center"/>
    </xf>
    <xf numFmtId="0" fontId="8" fillId="0" borderId="0" xfId="7" applyFont="1" applyAlignment="1">
      <alignment horizontal="center" vertical="center"/>
    </xf>
    <xf numFmtId="0" fontId="11" fillId="0" borderId="0" xfId="7" applyFont="1" applyAlignment="1">
      <alignment horizontal="center" vertical="center"/>
    </xf>
    <xf numFmtId="0" fontId="10" fillId="0" borderId="1" xfId="7" applyFont="1" applyBorder="1" applyAlignment="1">
      <alignment horizontal="center" vertical="center" wrapText="1"/>
    </xf>
    <xf numFmtId="0" fontId="10" fillId="0" borderId="1" xfId="7" applyFont="1" applyBorder="1" applyAlignment="1">
      <alignment horizontal="center" vertical="center"/>
    </xf>
    <xf numFmtId="0" fontId="10" fillId="0" borderId="0" xfId="7" applyFont="1" applyAlignment="1">
      <alignment vertical="center"/>
    </xf>
    <xf numFmtId="0" fontId="10" fillId="0" borderId="4" xfId="7" applyFont="1" applyBorder="1" applyAlignment="1">
      <alignment horizontal="center" vertical="center"/>
    </xf>
    <xf numFmtId="0" fontId="8" fillId="0" borderId="1" xfId="7" applyFont="1" applyBorder="1" applyAlignment="1">
      <alignment vertical="center"/>
    </xf>
    <xf numFmtId="0" fontId="10" fillId="0" borderId="1" xfId="7" applyFont="1" applyBorder="1" applyAlignment="1">
      <alignment vertical="center" wrapText="1"/>
    </xf>
    <xf numFmtId="0" fontId="10" fillId="0" borderId="1" xfId="7" applyFont="1" applyBorder="1" applyAlignment="1">
      <alignment vertical="center"/>
    </xf>
    <xf numFmtId="0" fontId="8" fillId="0" borderId="1" xfId="7" applyFont="1" applyBorder="1" applyAlignment="1">
      <alignment horizontal="center" vertical="center" wrapText="1"/>
    </xf>
    <xf numFmtId="0" fontId="8" fillId="0" borderId="1" xfId="7" applyFont="1" applyBorder="1" applyAlignment="1">
      <alignment vertical="center" wrapText="1"/>
    </xf>
    <xf numFmtId="3" fontId="8" fillId="0" borderId="1" xfId="8" applyNumberFormat="1" applyFont="1" applyFill="1" applyBorder="1" applyAlignment="1">
      <alignment horizontal="center" vertical="center"/>
    </xf>
    <xf numFmtId="3" fontId="8" fillId="0" borderId="1" xfId="7" applyNumberFormat="1" applyFont="1" applyBorder="1" applyAlignment="1">
      <alignment horizontal="center" vertical="center"/>
    </xf>
    <xf numFmtId="3" fontId="8" fillId="0" borderId="1" xfId="7" applyNumberFormat="1" applyFont="1" applyBorder="1" applyAlignment="1">
      <alignment vertical="center"/>
    </xf>
    <xf numFmtId="0" fontId="8" fillId="0" borderId="1" xfId="7" applyFont="1" applyBorder="1" applyAlignment="1">
      <alignment horizontal="center" vertical="center"/>
    </xf>
    <xf numFmtId="0" fontId="8" fillId="0" borderId="1" xfId="9" applyFont="1" applyBorder="1" applyAlignment="1">
      <alignment horizontal="center" vertical="center"/>
    </xf>
    <xf numFmtId="0" fontId="8" fillId="0" borderId="1" xfId="9" applyFont="1" applyBorder="1" applyAlignment="1">
      <alignment vertical="center" wrapText="1"/>
    </xf>
    <xf numFmtId="3" fontId="10" fillId="0" borderId="1" xfId="7" applyNumberFormat="1" applyFont="1" applyBorder="1" applyAlignment="1">
      <alignment horizontal="center" vertical="center"/>
    </xf>
    <xf numFmtId="3" fontId="10" fillId="0" borderId="1" xfId="8" applyNumberFormat="1" applyFont="1" applyFill="1" applyBorder="1" applyAlignment="1">
      <alignment horizontal="center" vertical="center"/>
    </xf>
    <xf numFmtId="3" fontId="8" fillId="0" borderId="1" xfId="7" applyNumberFormat="1" applyFont="1" applyBorder="1" applyAlignment="1">
      <alignment vertical="center" wrapText="1"/>
    </xf>
    <xf numFmtId="171" fontId="8" fillId="0" borderId="1" xfId="7" applyNumberFormat="1" applyFont="1" applyBorder="1" applyAlignment="1">
      <alignment horizontal="center" vertical="center" wrapText="1"/>
    </xf>
    <xf numFmtId="3" fontId="8" fillId="0" borderId="1" xfId="10" applyNumberFormat="1" applyFont="1" applyFill="1" applyBorder="1" applyAlignment="1">
      <alignment horizontal="center" vertical="center"/>
    </xf>
    <xf numFmtId="0" fontId="8" fillId="0" borderId="0" xfId="2" applyFont="1"/>
    <xf numFmtId="0" fontId="10" fillId="0" borderId="0" xfId="2" applyFont="1" applyAlignment="1">
      <alignment vertical="center"/>
    </xf>
    <xf numFmtId="0" fontId="8" fillId="0" borderId="0" xfId="2" applyFont="1" applyAlignment="1">
      <alignment horizontal="center"/>
    </xf>
    <xf numFmtId="0" fontId="11" fillId="0" borderId="0" xfId="2" applyFont="1" applyAlignment="1">
      <alignment horizontal="center"/>
    </xf>
    <xf numFmtId="0" fontId="11" fillId="0" borderId="0" xfId="2" applyFont="1"/>
    <xf numFmtId="0" fontId="10" fillId="0" borderId="6" xfId="2" applyFont="1" applyBorder="1" applyAlignment="1">
      <alignment horizontal="center" vertical="center" wrapText="1"/>
    </xf>
    <xf numFmtId="3" fontId="8" fillId="0" borderId="1" xfId="2" applyNumberFormat="1" applyFont="1" applyBorder="1" applyAlignment="1">
      <alignment horizontal="center" vertical="center" wrapText="1"/>
    </xf>
    <xf numFmtId="0" fontId="8" fillId="0" borderId="1" xfId="2" applyFont="1" applyBorder="1" applyAlignment="1">
      <alignment wrapText="1"/>
    </xf>
    <xf numFmtId="3" fontId="8" fillId="0" borderId="1" xfId="11" applyNumberFormat="1" applyFont="1" applyFill="1" applyBorder="1" applyAlignment="1">
      <alignment horizontal="center" vertical="center" wrapText="1"/>
    </xf>
    <xf numFmtId="3" fontId="10" fillId="0" borderId="1" xfId="2" applyNumberFormat="1" applyFont="1" applyBorder="1" applyAlignment="1">
      <alignment horizontal="center" vertical="center" wrapText="1"/>
    </xf>
    <xf numFmtId="0" fontId="10" fillId="0" borderId="0" xfId="2" applyFont="1"/>
    <xf numFmtId="167" fontId="8" fillId="0" borderId="1" xfId="1" applyNumberFormat="1" applyFont="1" applyFill="1" applyBorder="1" applyAlignment="1">
      <alignment horizontal="right" vertical="center" wrapText="1"/>
    </xf>
    <xf numFmtId="167" fontId="8" fillId="0" borderId="1" xfId="1" applyNumberFormat="1" applyFont="1" applyFill="1" applyBorder="1" applyAlignment="1">
      <alignment vertical="center" wrapText="1"/>
    </xf>
    <xf numFmtId="167" fontId="8" fillId="0" borderId="1" xfId="1" applyNumberFormat="1" applyFont="1" applyFill="1" applyBorder="1" applyAlignment="1">
      <alignment horizontal="right" vertical="center"/>
    </xf>
    <xf numFmtId="49" fontId="10" fillId="0" borderId="1" xfId="1" applyNumberFormat="1" applyFont="1" applyFill="1" applyBorder="1" applyAlignment="1">
      <alignment horizontal="right" vertical="center" wrapText="1"/>
    </xf>
    <xf numFmtId="0" fontId="11" fillId="0" borderId="5" xfId="0" applyFont="1" applyBorder="1" applyAlignment="1">
      <alignment horizontal="center" vertical="center" wrapText="1"/>
    </xf>
    <xf numFmtId="165" fontId="10" fillId="0" borderId="1" xfId="0" applyNumberFormat="1" applyFont="1" applyBorder="1" applyAlignment="1">
      <alignment horizontal="right" vertical="center"/>
    </xf>
    <xf numFmtId="0" fontId="10" fillId="0" borderId="1" xfId="0" applyFont="1" applyBorder="1" applyAlignment="1">
      <alignment vertical="center"/>
    </xf>
    <xf numFmtId="0" fontId="10" fillId="0" borderId="7" xfId="0" applyFont="1" applyBorder="1" applyAlignment="1">
      <alignment horizontal="center" vertical="center" wrapText="1"/>
    </xf>
    <xf numFmtId="1" fontId="10" fillId="0" borderId="1" xfId="0" applyNumberFormat="1" applyFont="1" applyBorder="1" applyAlignment="1">
      <alignment horizontal="center" vertical="center" wrapText="1"/>
    </xf>
    <xf numFmtId="165" fontId="10" fillId="0" borderId="7" xfId="0" applyNumberFormat="1" applyFont="1" applyBorder="1" applyAlignment="1">
      <alignment horizontal="right" vertical="center" wrapText="1"/>
    </xf>
    <xf numFmtId="1" fontId="10" fillId="0" borderId="7" xfId="0" applyNumberFormat="1" applyFont="1" applyBorder="1" applyAlignment="1">
      <alignment horizontal="center" vertical="center" wrapText="1"/>
    </xf>
    <xf numFmtId="0" fontId="10" fillId="0" borderId="7" xfId="0" applyFont="1" applyBorder="1" applyAlignment="1">
      <alignment vertical="center" wrapText="1"/>
    </xf>
    <xf numFmtId="167" fontId="8" fillId="0" borderId="7" xfId="6" applyNumberFormat="1" applyFont="1" applyFill="1" applyBorder="1" applyAlignment="1">
      <alignment horizontal="right" vertical="center" wrapText="1"/>
    </xf>
    <xf numFmtId="3" fontId="8" fillId="0" borderId="7" xfId="0" applyNumberFormat="1" applyFont="1" applyBorder="1" applyAlignment="1">
      <alignment horizontal="right" vertical="center" wrapText="1"/>
    </xf>
    <xf numFmtId="1" fontId="8" fillId="0" borderId="7" xfId="6" applyNumberFormat="1" applyFont="1" applyFill="1" applyBorder="1" applyAlignment="1">
      <alignment horizontal="right" vertical="center" wrapText="1"/>
    </xf>
    <xf numFmtId="1" fontId="8" fillId="0" borderId="7" xfId="0" applyNumberFormat="1" applyFont="1" applyBorder="1" applyAlignment="1">
      <alignment horizontal="right" vertical="center" wrapText="1"/>
    </xf>
    <xf numFmtId="0" fontId="10" fillId="0" borderId="7" xfId="0" applyFont="1" applyBorder="1"/>
    <xf numFmtId="0" fontId="10" fillId="0" borderId="0" xfId="0" applyFont="1"/>
    <xf numFmtId="165" fontId="10" fillId="0" borderId="7" xfId="0" applyNumberFormat="1" applyFont="1" applyBorder="1" applyAlignment="1">
      <alignment horizontal="right" vertical="center"/>
    </xf>
    <xf numFmtId="0" fontId="10" fillId="0" borderId="7" xfId="0" applyFont="1" applyBorder="1" applyAlignment="1">
      <alignment horizontal="center" vertical="center"/>
    </xf>
    <xf numFmtId="167" fontId="8" fillId="0" borderId="1" xfId="6" applyNumberFormat="1" applyFont="1" applyFill="1" applyBorder="1" applyAlignment="1">
      <alignment horizontal="right" vertical="center" wrapText="1"/>
    </xf>
    <xf numFmtId="1" fontId="8" fillId="0" borderId="1" xfId="0" applyNumberFormat="1" applyFont="1" applyBorder="1" applyAlignment="1">
      <alignment horizontal="right" vertical="center" wrapText="1"/>
    </xf>
    <xf numFmtId="165" fontId="8" fillId="0" borderId="1" xfId="0" applyNumberFormat="1" applyFont="1" applyBorder="1" applyAlignment="1">
      <alignment horizontal="right" vertical="center"/>
    </xf>
    <xf numFmtId="0" fontId="8" fillId="0" borderId="1" xfId="0" applyFont="1" applyBorder="1" applyAlignment="1">
      <alignment horizontal="right" vertical="center"/>
    </xf>
    <xf numFmtId="0" fontId="10" fillId="0" borderId="1" xfId="0" applyFont="1" applyBorder="1"/>
    <xf numFmtId="0" fontId="8" fillId="0" borderId="0" xfId="0" applyFont="1" applyAlignment="1">
      <alignment wrapText="1"/>
    </xf>
    <xf numFmtId="0" fontId="8" fillId="0" borderId="1" xfId="0" quotePrefix="1" applyFont="1" applyBorder="1" applyAlignment="1">
      <alignment vertical="center" wrapText="1"/>
    </xf>
    <xf numFmtId="39" fontId="8" fillId="0" borderId="0" xfId="0" applyNumberFormat="1" applyFont="1"/>
    <xf numFmtId="1" fontId="8" fillId="0" borderId="1" xfId="0" applyNumberFormat="1" applyFont="1" applyBorder="1" applyAlignment="1">
      <alignment horizontal="center" vertical="center"/>
    </xf>
    <xf numFmtId="0" fontId="10" fillId="0" borderId="0" xfId="0" applyFont="1" applyAlignment="1">
      <alignment vertical="center" wrapText="1"/>
    </xf>
    <xf numFmtId="0" fontId="22" fillId="0" borderId="0" xfId="0" applyFont="1" applyAlignment="1">
      <alignment horizontal="center" vertical="center" wrapText="1"/>
    </xf>
    <xf numFmtId="0" fontId="10"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11" fillId="0" borderId="0" xfId="0" applyFont="1"/>
    <xf numFmtId="1" fontId="8" fillId="0" borderId="0" xfId="0" applyNumberFormat="1" applyFont="1" applyAlignment="1">
      <alignment horizontal="center" vertical="center"/>
    </xf>
    <xf numFmtId="2" fontId="10" fillId="0" borderId="0" xfId="0" applyNumberFormat="1" applyFont="1" applyAlignment="1">
      <alignment horizontal="center" vertical="center"/>
    </xf>
    <xf numFmtId="0" fontId="8" fillId="0" borderId="0" xfId="0" applyFont="1" applyAlignment="1">
      <alignment horizontal="left" vertical="center"/>
    </xf>
    <xf numFmtId="0" fontId="8" fillId="0" borderId="12" xfId="0" applyFont="1" applyBorder="1" applyAlignment="1">
      <alignment horizontal="center" vertical="center" wrapText="1"/>
    </xf>
    <xf numFmtId="0" fontId="8" fillId="0" borderId="0" xfId="0" applyFont="1" applyAlignment="1">
      <alignment horizontal="center"/>
    </xf>
    <xf numFmtId="0" fontId="10" fillId="0" borderId="0" xfId="12" applyFont="1" applyAlignment="1">
      <alignment horizontal="center" vertical="center" wrapText="1"/>
    </xf>
    <xf numFmtId="3" fontId="8" fillId="0" borderId="1" xfId="12" applyNumberFormat="1" applyFont="1" applyBorder="1" applyAlignment="1">
      <alignment horizontal="right" vertical="center" wrapText="1"/>
    </xf>
    <xf numFmtId="0" fontId="8" fillId="0" borderId="6" xfId="12" applyFont="1" applyBorder="1" applyAlignment="1">
      <alignment horizontal="center" vertical="center"/>
    </xf>
    <xf numFmtId="3" fontId="8" fillId="0" borderId="6" xfId="12" applyNumberFormat="1" applyFont="1" applyBorder="1" applyAlignment="1">
      <alignment horizontal="right" vertical="center" wrapText="1"/>
    </xf>
    <xf numFmtId="0" fontId="8" fillId="0" borderId="0" xfId="12" applyFont="1" applyAlignment="1">
      <alignment horizontal="center"/>
    </xf>
    <xf numFmtId="0" fontId="10" fillId="0" borderId="0" xfId="2" applyFont="1" applyAlignment="1">
      <alignment horizontal="left"/>
    </xf>
    <xf numFmtId="0" fontId="10" fillId="0" borderId="1" xfId="2" applyFont="1" applyBorder="1" applyAlignment="1">
      <alignment horizontal="center"/>
    </xf>
    <xf numFmtId="167" fontId="8" fillId="0" borderId="1" xfId="11" applyNumberFormat="1" applyFont="1" applyFill="1" applyBorder="1" applyAlignment="1">
      <alignment horizontal="right" vertical="center" wrapText="1"/>
    </xf>
    <xf numFmtId="167" fontId="8" fillId="0" borderId="1" xfId="11" applyNumberFormat="1" applyFont="1" applyFill="1" applyBorder="1" applyAlignment="1">
      <alignment horizontal="center" vertical="center" wrapText="1"/>
    </xf>
    <xf numFmtId="0" fontId="8" fillId="0" borderId="1" xfId="2" quotePrefix="1" applyFont="1" applyBorder="1" applyAlignment="1">
      <alignment horizontal="left" vertical="center" wrapText="1"/>
    </xf>
    <xf numFmtId="0" fontId="8" fillId="0" borderId="0" xfId="14" applyFont="1"/>
    <xf numFmtId="0" fontId="8" fillId="0" borderId="0" xfId="14" applyFont="1" applyAlignment="1">
      <alignment horizontal="center" vertical="center"/>
    </xf>
    <xf numFmtId="0" fontId="8" fillId="0" borderId="0" xfId="14" applyFont="1" applyAlignment="1">
      <alignment horizontal="center"/>
    </xf>
    <xf numFmtId="0" fontId="4" fillId="0" borderId="0" xfId="14" applyFont="1"/>
    <xf numFmtId="0" fontId="10" fillId="0" borderId="1" xfId="14" applyFont="1" applyBorder="1" applyAlignment="1">
      <alignment horizontal="center" vertical="center" wrapText="1"/>
    </xf>
    <xf numFmtId="0" fontId="10" fillId="0" borderId="13" xfId="14" applyFont="1" applyBorder="1" applyAlignment="1">
      <alignment horizontal="center" vertical="center" wrapText="1"/>
    </xf>
    <xf numFmtId="0" fontId="5" fillId="0" borderId="0" xfId="14" applyFont="1"/>
    <xf numFmtId="0" fontId="10" fillId="0" borderId="16" xfId="14" applyFont="1" applyBorder="1" applyAlignment="1">
      <alignment horizontal="center" vertical="center" wrapText="1"/>
    </xf>
    <xf numFmtId="0" fontId="10" fillId="0" borderId="1" xfId="14" applyFont="1" applyBorder="1" applyAlignment="1">
      <alignment horizontal="left" vertical="center" wrapText="1"/>
    </xf>
    <xf numFmtId="0" fontId="10" fillId="0" borderId="1" xfId="14" applyFont="1" applyBorder="1" applyAlignment="1">
      <alignment horizontal="right" vertical="center" wrapText="1"/>
    </xf>
    <xf numFmtId="0" fontId="8" fillId="0" borderId="1" xfId="14" applyFont="1" applyBorder="1" applyAlignment="1">
      <alignment horizontal="center" vertical="center" wrapText="1"/>
    </xf>
    <xf numFmtId="0" fontId="8" fillId="0" borderId="1" xfId="14" applyFont="1" applyBorder="1" applyAlignment="1">
      <alignment horizontal="left" vertical="center" wrapText="1"/>
    </xf>
    <xf numFmtId="3" fontId="8" fillId="0" borderId="1" xfId="14" applyNumberFormat="1" applyFont="1" applyBorder="1" applyAlignment="1">
      <alignment horizontal="right" vertical="center" wrapText="1"/>
    </xf>
    <xf numFmtId="0" fontId="8" fillId="0" borderId="1" xfId="14" applyFont="1" applyBorder="1" applyAlignment="1">
      <alignment horizontal="right" vertical="center" wrapText="1"/>
    </xf>
    <xf numFmtId="0" fontId="8" fillId="0" borderId="1" xfId="14" quotePrefix="1" applyFont="1" applyBorder="1" applyAlignment="1">
      <alignment horizontal="center" vertical="center" wrapText="1"/>
    </xf>
    <xf numFmtId="3" fontId="8" fillId="0" borderId="1" xfId="14" applyNumberFormat="1" applyFont="1" applyBorder="1" applyAlignment="1">
      <alignment horizontal="center" vertical="center" wrapText="1"/>
    </xf>
    <xf numFmtId="169" fontId="8" fillId="0" borderId="1" xfId="14" quotePrefix="1" applyNumberFormat="1" applyFont="1" applyBorder="1" applyAlignment="1">
      <alignment horizontal="right" vertical="center" wrapText="1"/>
    </xf>
    <xf numFmtId="169" fontId="8" fillId="0" borderId="1" xfId="14" quotePrefix="1" applyNumberFormat="1" applyFont="1" applyBorder="1" applyAlignment="1">
      <alignment horizontal="center" vertical="center" wrapText="1"/>
    </xf>
    <xf numFmtId="3" fontId="8" fillId="0" borderId="1" xfId="14" quotePrefix="1" applyNumberFormat="1" applyFont="1" applyBorder="1" applyAlignment="1">
      <alignment horizontal="right" vertical="center" wrapText="1"/>
    </xf>
    <xf numFmtId="3" fontId="8" fillId="0" borderId="1" xfId="14" quotePrefix="1" applyNumberFormat="1" applyFont="1" applyBorder="1" applyAlignment="1">
      <alignment horizontal="center" vertical="center" wrapText="1"/>
    </xf>
    <xf numFmtId="0" fontId="8" fillId="0" borderId="1" xfId="14" applyFont="1" applyBorder="1" applyAlignment="1">
      <alignment vertical="center" wrapText="1"/>
    </xf>
    <xf numFmtId="0" fontId="8" fillId="0" borderId="7" xfId="14" applyFont="1" applyBorder="1" applyAlignment="1">
      <alignment horizontal="left" vertical="center" wrapText="1"/>
    </xf>
    <xf numFmtId="3" fontId="8" fillId="0" borderId="1" xfId="14" applyNumberFormat="1" applyFont="1" applyBorder="1" applyAlignment="1">
      <alignment vertical="center" wrapText="1"/>
    </xf>
    <xf numFmtId="3" fontId="8" fillId="0" borderId="1" xfId="14" quotePrefix="1" applyNumberFormat="1" applyFont="1" applyBorder="1" applyAlignment="1">
      <alignment vertical="center" wrapText="1"/>
    </xf>
    <xf numFmtId="169" fontId="8" fillId="0" borderId="1" xfId="14" quotePrefix="1" applyNumberFormat="1" applyFont="1" applyBorder="1" applyAlignment="1">
      <alignment vertical="center" wrapText="1"/>
    </xf>
    <xf numFmtId="3" fontId="8" fillId="0" borderId="1" xfId="14" applyNumberFormat="1" applyFont="1" applyBorder="1" applyAlignment="1">
      <alignment vertical="center"/>
    </xf>
    <xf numFmtId="3" fontId="5" fillId="0" borderId="0" xfId="14" applyNumberFormat="1" applyFont="1"/>
    <xf numFmtId="43" fontId="5" fillId="0" borderId="0" xfId="14" applyNumberFormat="1" applyFont="1"/>
    <xf numFmtId="2" fontId="5" fillId="0" borderId="0" xfId="14" applyNumberFormat="1" applyFont="1"/>
    <xf numFmtId="172" fontId="5" fillId="0" borderId="0" xfId="14" applyNumberFormat="1" applyFont="1"/>
    <xf numFmtId="3" fontId="8" fillId="0" borderId="1" xfId="14" applyNumberFormat="1" applyFont="1" applyBorder="1" applyAlignment="1">
      <alignment horizontal="right" vertical="center"/>
    </xf>
    <xf numFmtId="3" fontId="8" fillId="0" borderId="1" xfId="14" quotePrefix="1" applyNumberFormat="1" applyFont="1" applyBorder="1" applyAlignment="1">
      <alignment horizontal="right" vertical="center"/>
    </xf>
    <xf numFmtId="49" fontId="10" fillId="0" borderId="1" xfId="14" applyNumberFormat="1" applyFont="1" applyBorder="1" applyAlignment="1">
      <alignment horizontal="center" vertical="center" wrapText="1"/>
    </xf>
    <xf numFmtId="49" fontId="10" fillId="0" borderId="1" xfId="14" applyNumberFormat="1" applyFont="1" applyBorder="1" applyAlignment="1">
      <alignment horizontal="right" vertical="center" wrapText="1"/>
    </xf>
    <xf numFmtId="49" fontId="10" fillId="0" borderId="1" xfId="14" quotePrefix="1" applyNumberFormat="1" applyFont="1" applyBorder="1" applyAlignment="1">
      <alignment horizontal="right" vertical="center" wrapText="1"/>
    </xf>
    <xf numFmtId="49" fontId="8" fillId="0" borderId="1" xfId="14" applyNumberFormat="1" applyFont="1" applyBorder="1" applyAlignment="1">
      <alignment horizontal="center" vertical="center" wrapText="1"/>
    </xf>
    <xf numFmtId="3" fontId="5" fillId="0" borderId="0" xfId="14" applyNumberFormat="1" applyFont="1" applyAlignment="1">
      <alignment horizontal="center" vertical="center" wrapText="1"/>
    </xf>
    <xf numFmtId="167" fontId="5" fillId="0" borderId="0" xfId="14" applyNumberFormat="1" applyFont="1"/>
    <xf numFmtId="165" fontId="5" fillId="0" borderId="0" xfId="14" applyNumberFormat="1" applyFont="1"/>
    <xf numFmtId="167" fontId="5" fillId="0" borderId="0" xfId="14" applyNumberFormat="1" applyFont="1" applyAlignment="1">
      <alignment wrapText="1"/>
    </xf>
    <xf numFmtId="0" fontId="4" fillId="0" borderId="0" xfId="14" applyFont="1" applyAlignment="1">
      <alignment horizontal="center" vertical="center"/>
    </xf>
    <xf numFmtId="0" fontId="4" fillId="0" borderId="0" xfId="14" applyFont="1" applyAlignment="1">
      <alignment horizontal="center"/>
    </xf>
    <xf numFmtId="0" fontId="8" fillId="0" borderId="0" xfId="12" applyFont="1" applyAlignment="1">
      <alignment vertical="center"/>
    </xf>
    <xf numFmtId="0" fontId="14" fillId="0" borderId="0" xfId="12" applyFont="1" applyAlignment="1">
      <alignment vertical="center"/>
    </xf>
    <xf numFmtId="167" fontId="8" fillId="0" borderId="1" xfId="0" applyNumberFormat="1" applyFont="1" applyBorder="1" applyAlignment="1">
      <alignment vertical="center" wrapText="1"/>
    </xf>
    <xf numFmtId="167" fontId="8" fillId="0" borderId="1" xfId="0" applyNumberFormat="1" applyFont="1" applyBorder="1" applyAlignment="1">
      <alignment wrapText="1"/>
    </xf>
    <xf numFmtId="3" fontId="8" fillId="0" borderId="1" xfId="3" applyNumberFormat="1" applyFont="1" applyFill="1" applyBorder="1" applyAlignment="1">
      <alignment horizontal="right" vertical="center" wrapText="1"/>
    </xf>
    <xf numFmtId="3" fontId="8" fillId="0" borderId="1" xfId="4" applyNumberFormat="1" applyFont="1" applyBorder="1" applyAlignment="1">
      <alignment horizontal="right" vertical="center" wrapText="1"/>
    </xf>
    <xf numFmtId="3" fontId="8" fillId="0" borderId="1" xfId="7" applyNumberFormat="1" applyFont="1" applyBorder="1" applyAlignment="1">
      <alignment horizontal="right" vertical="center"/>
    </xf>
    <xf numFmtId="0" fontId="8" fillId="0" borderId="1" xfId="7" applyFont="1" applyBorder="1" applyAlignment="1">
      <alignment horizontal="right" vertical="center"/>
    </xf>
    <xf numFmtId="3" fontId="10" fillId="0" borderId="1" xfId="7" applyNumberFormat="1" applyFont="1" applyBorder="1" applyAlignment="1">
      <alignment horizontal="right" vertical="center"/>
    </xf>
    <xf numFmtId="0" fontId="10" fillId="0" borderId="1" xfId="7" applyFont="1" applyBorder="1" applyAlignment="1">
      <alignment horizontal="right" vertical="center"/>
    </xf>
    <xf numFmtId="3" fontId="8" fillId="0" borderId="9" xfId="0" applyNumberFormat="1" applyFont="1" applyBorder="1" applyAlignment="1">
      <alignment horizontal="right" vertical="center" wrapText="1"/>
    </xf>
    <xf numFmtId="3" fontId="8" fillId="0" borderId="1" xfId="10" applyNumberFormat="1" applyFont="1" applyFill="1" applyBorder="1" applyAlignment="1">
      <alignment horizontal="right" vertical="center"/>
    </xf>
    <xf numFmtId="3" fontId="8" fillId="0" borderId="4" xfId="14" applyNumberFormat="1" applyFont="1" applyBorder="1" applyAlignment="1">
      <alignment horizontal="right" vertical="center" wrapText="1"/>
    </xf>
    <xf numFmtId="3" fontId="8" fillId="0" borderId="1" xfId="0" applyNumberFormat="1" applyFont="1" applyBorder="1" applyAlignment="1">
      <alignment horizontal="right" vertical="center"/>
    </xf>
    <xf numFmtId="169" fontId="8" fillId="0" borderId="1" xfId="0" applyNumberFormat="1" applyFont="1" applyBorder="1" applyAlignment="1">
      <alignment horizontal="right" vertical="center"/>
    </xf>
    <xf numFmtId="0" fontId="8" fillId="0" borderId="1" xfId="2" applyFont="1" applyBorder="1" applyAlignment="1">
      <alignment horizontal="right"/>
    </xf>
    <xf numFmtId="167" fontId="8" fillId="0" borderId="1" xfId="2" applyNumberFormat="1" applyFont="1" applyBorder="1" applyAlignment="1">
      <alignment horizontal="right"/>
    </xf>
    <xf numFmtId="0" fontId="3"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3" fillId="0" borderId="0" xfId="0" applyFont="1" applyAlignment="1">
      <alignment horizontal="left" vertical="center" wrapText="1"/>
    </xf>
    <xf numFmtId="0" fontId="11" fillId="0" borderId="5" xfId="0" applyFont="1" applyBorder="1" applyAlignment="1">
      <alignment horizontal="right" vertical="center" wrapText="1"/>
    </xf>
    <xf numFmtId="0" fontId="10"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3" fontId="8" fillId="0" borderId="2"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3" fontId="8" fillId="0" borderId="4" xfId="0" applyNumberFormat="1" applyFont="1" applyBorder="1" applyAlignment="1">
      <alignment horizontal="center" vertical="center" wrapText="1"/>
    </xf>
    <xf numFmtId="0" fontId="10" fillId="0" borderId="0" xfId="0" applyFont="1" applyAlignment="1">
      <alignment horizontal="left" vertical="center" wrapText="1"/>
    </xf>
    <xf numFmtId="0" fontId="11" fillId="0" borderId="5" xfId="0" applyFont="1" applyBorder="1" applyAlignment="1">
      <alignment vertical="center" wrapText="1"/>
    </xf>
    <xf numFmtId="0" fontId="8"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xf numFmtId="0" fontId="8" fillId="0" borderId="1" xfId="0" applyFont="1" applyBorder="1" applyAlignment="1">
      <alignment horizont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0" fillId="0" borderId="1" xfId="4" applyFont="1" applyBorder="1" applyAlignment="1">
      <alignment horizontal="center" vertical="center" wrapText="1"/>
    </xf>
    <xf numFmtId="0" fontId="8" fillId="0" borderId="8" xfId="0" applyFont="1" applyBorder="1" applyAlignment="1">
      <alignment horizontal="center" vertical="center" wrapText="1"/>
    </xf>
    <xf numFmtId="0" fontId="10" fillId="0" borderId="0" xfId="4" applyFont="1" applyAlignment="1">
      <alignment horizontal="left" vertical="center" wrapText="1"/>
    </xf>
    <xf numFmtId="0" fontId="3" fillId="0" borderId="0" xfId="4" applyFont="1" applyAlignment="1">
      <alignment horizontal="left" vertical="center" wrapText="1"/>
    </xf>
    <xf numFmtId="0" fontId="11" fillId="0" borderId="5" xfId="4" applyFont="1" applyBorder="1" applyAlignment="1">
      <alignment horizontal="center" vertical="center" wrapText="1"/>
    </xf>
    <xf numFmtId="0" fontId="11" fillId="0" borderId="5" xfId="4" applyFont="1" applyBorder="1" applyAlignment="1">
      <alignment horizontal="right" vertical="center" wrapText="1"/>
    </xf>
    <xf numFmtId="0" fontId="10" fillId="0" borderId="6" xfId="7" applyFont="1" applyBorder="1" applyAlignment="1">
      <alignment horizontal="center" vertical="center" wrapText="1"/>
    </xf>
    <xf numFmtId="0" fontId="10" fillId="0" borderId="7" xfId="7" applyFont="1" applyBorder="1" applyAlignment="1">
      <alignment horizontal="center" vertical="center" wrapText="1"/>
    </xf>
    <xf numFmtId="0" fontId="10" fillId="0" borderId="6" xfId="7" applyFont="1" applyBorder="1" applyAlignment="1">
      <alignment horizontal="center" vertical="center"/>
    </xf>
    <xf numFmtId="0" fontId="10" fillId="0" borderId="7" xfId="7" applyFont="1" applyBorder="1" applyAlignment="1">
      <alignment horizontal="center" vertical="center"/>
    </xf>
    <xf numFmtId="0" fontId="10" fillId="0" borderId="2" xfId="7" applyFont="1" applyBorder="1" applyAlignment="1">
      <alignment horizontal="center" vertical="center" wrapText="1"/>
    </xf>
    <xf numFmtId="0" fontId="10" fillId="0" borderId="3" xfId="7" applyFont="1" applyBorder="1" applyAlignment="1">
      <alignment horizontal="center" vertical="center" wrapText="1"/>
    </xf>
    <xf numFmtId="0" fontId="10" fillId="0" borderId="2" xfId="7" applyFont="1" applyBorder="1" applyAlignment="1">
      <alignment horizontal="center" vertical="center"/>
    </xf>
    <xf numFmtId="0" fontId="10" fillId="0" borderId="3" xfId="7" applyFont="1" applyBorder="1" applyAlignment="1">
      <alignment horizontal="center" vertical="center"/>
    </xf>
    <xf numFmtId="0" fontId="10" fillId="0" borderId="4" xfId="7" applyFont="1" applyBorder="1" applyAlignment="1">
      <alignment horizontal="center" vertical="center"/>
    </xf>
    <xf numFmtId="0" fontId="3" fillId="0" borderId="0" xfId="2" applyFont="1" applyAlignment="1">
      <alignment horizontal="left" vertical="center" wrapText="1"/>
    </xf>
    <xf numFmtId="0" fontId="11" fillId="0" borderId="5" xfId="2" applyFont="1" applyBorder="1" applyAlignment="1">
      <alignment horizontal="center" vertical="center" wrapText="1"/>
    </xf>
    <xf numFmtId="0" fontId="10" fillId="0" borderId="1" xfId="7" applyFont="1" applyBorder="1" applyAlignment="1">
      <alignment horizontal="center" vertical="center" wrapText="1"/>
    </xf>
    <xf numFmtId="0" fontId="10" fillId="0" borderId="1" xfId="7" applyFont="1" applyBorder="1" applyAlignment="1">
      <alignment horizontal="center" vertical="center"/>
    </xf>
    <xf numFmtId="0" fontId="10" fillId="0" borderId="4" xfId="7" applyFont="1" applyBorder="1" applyAlignment="1">
      <alignment horizontal="center" vertical="center" wrapText="1"/>
    </xf>
    <xf numFmtId="0" fontId="11" fillId="0" borderId="5" xfId="7" applyFont="1" applyBorder="1" applyAlignment="1">
      <alignment horizontal="right" vertical="center"/>
    </xf>
    <xf numFmtId="0" fontId="8" fillId="0" borderId="1" xfId="2" applyFont="1" applyBorder="1" applyAlignment="1">
      <alignment horizontal="center" vertical="center" wrapText="1"/>
    </xf>
    <xf numFmtId="0" fontId="11" fillId="0" borderId="5" xfId="2" applyFont="1" applyBorder="1" applyAlignment="1">
      <alignment horizontal="right" vertical="center"/>
    </xf>
    <xf numFmtId="0" fontId="10" fillId="0" borderId="2" xfId="2" applyFont="1" applyBorder="1" applyAlignment="1">
      <alignment horizontal="center"/>
    </xf>
    <xf numFmtId="0" fontId="10" fillId="0" borderId="3" xfId="2" applyFont="1" applyBorder="1" applyAlignment="1">
      <alignment horizontal="center"/>
    </xf>
    <xf numFmtId="0" fontId="10" fillId="0" borderId="1" xfId="2" applyFont="1" applyBorder="1" applyAlignment="1">
      <alignment horizontal="center" vertical="center" wrapText="1"/>
    </xf>
    <xf numFmtId="0" fontId="8" fillId="0" borderId="6" xfId="2" applyFont="1" applyBorder="1" applyAlignment="1">
      <alignment horizontal="center" vertical="center" wrapText="1"/>
    </xf>
    <xf numFmtId="0" fontId="8" fillId="0" borderId="7" xfId="2" applyFont="1" applyBorder="1" applyAlignment="1">
      <alignment horizontal="center" vertical="center" wrapText="1"/>
    </xf>
    <xf numFmtId="0" fontId="8" fillId="0" borderId="6" xfId="2" applyFont="1" applyBorder="1" applyAlignment="1">
      <alignment horizontal="left" vertical="center" wrapText="1"/>
    </xf>
    <xf numFmtId="0" fontId="8" fillId="0" borderId="7" xfId="2" applyFont="1" applyBorder="1" applyAlignment="1">
      <alignment horizontal="left" vertical="center" wrapText="1"/>
    </xf>
    <xf numFmtId="3" fontId="8" fillId="0" borderId="6" xfId="11" applyNumberFormat="1" applyFont="1" applyFill="1" applyBorder="1" applyAlignment="1">
      <alignment horizontal="center" vertical="center" wrapText="1"/>
    </xf>
    <xf numFmtId="3" fontId="8" fillId="0" borderId="7" xfId="11" applyNumberFormat="1" applyFont="1" applyFill="1" applyBorder="1" applyAlignment="1">
      <alignment horizontal="center" vertical="center" wrapText="1"/>
    </xf>
    <xf numFmtId="3" fontId="8" fillId="0" borderId="6" xfId="2" applyNumberFormat="1" applyFont="1" applyBorder="1" applyAlignment="1">
      <alignment horizontal="center" vertical="center" wrapText="1"/>
    </xf>
    <xf numFmtId="3" fontId="8" fillId="0" borderId="7" xfId="2" applyNumberFormat="1" applyFont="1" applyBorder="1" applyAlignment="1">
      <alignment horizontal="center" vertical="center" wrapText="1"/>
    </xf>
    <xf numFmtId="0" fontId="3" fillId="0" borderId="0" xfId="14" applyFont="1" applyAlignment="1">
      <alignment horizontal="left" vertical="center"/>
    </xf>
    <xf numFmtId="0" fontId="10" fillId="0" borderId="2" xfId="14" applyFont="1" applyBorder="1" applyAlignment="1">
      <alignment horizontal="center" vertical="center" wrapText="1"/>
    </xf>
    <xf numFmtId="0" fontId="10" fillId="0" borderId="3" xfId="14" applyFont="1" applyBorder="1" applyAlignment="1">
      <alignment horizontal="center" vertical="center" wrapText="1"/>
    </xf>
    <xf numFmtId="0" fontId="10" fillId="0" borderId="4" xfId="14" applyFont="1" applyBorder="1" applyAlignment="1">
      <alignment horizontal="center" vertical="center" wrapText="1"/>
    </xf>
    <xf numFmtId="0" fontId="10" fillId="0" borderId="6" xfId="14" applyFont="1" applyBorder="1" applyAlignment="1">
      <alignment horizontal="center" vertical="center" wrapText="1"/>
    </xf>
    <xf numFmtId="0" fontId="10" fillId="0" borderId="7" xfId="14" applyFont="1" applyBorder="1" applyAlignment="1">
      <alignment horizontal="center" vertical="center" wrapText="1"/>
    </xf>
    <xf numFmtId="0" fontId="11" fillId="0" borderId="5" xfId="14" applyFont="1" applyBorder="1" applyAlignment="1">
      <alignment horizontal="right"/>
    </xf>
    <xf numFmtId="0" fontId="5" fillId="0" borderId="0" xfId="0" applyFont="1" applyAlignment="1">
      <alignment horizontal="left"/>
    </xf>
    <xf numFmtId="0" fontId="7" fillId="0" borderId="0" xfId="0" applyFont="1" applyAlignment="1">
      <alignment horizontal="right"/>
    </xf>
    <xf numFmtId="0" fontId="11" fillId="0" borderId="5" xfId="0" applyFont="1" applyBorder="1" applyAlignment="1">
      <alignment horizontal="center" vertical="center" wrapText="1"/>
    </xf>
    <xf numFmtId="0" fontId="10" fillId="0" borderId="1" xfId="0" applyFont="1" applyBorder="1" applyAlignment="1">
      <alignment horizont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applyAlignment="1">
      <alignment horizontal="center" vertical="center"/>
    </xf>
    <xf numFmtId="165" fontId="10" fillId="0" borderId="6" xfId="0" applyNumberFormat="1" applyFont="1" applyBorder="1" applyAlignment="1">
      <alignment horizontal="center" vertical="center" wrapText="1"/>
    </xf>
    <xf numFmtId="165" fontId="10" fillId="0" borderId="7" xfId="0" applyNumberFormat="1" applyFont="1" applyBorder="1" applyAlignment="1">
      <alignment horizontal="center" vertical="center" wrapText="1"/>
    </xf>
    <xf numFmtId="0" fontId="8" fillId="0" borderId="0" xfId="0" applyFont="1" applyAlignment="1">
      <alignment horizont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12" applyFont="1" applyAlignment="1">
      <alignment horizontal="left" vertical="center" wrapText="1"/>
    </xf>
    <xf numFmtId="0" fontId="3" fillId="0" borderId="0" xfId="12" applyFont="1" applyAlignment="1">
      <alignment horizontal="left" vertical="center" wrapText="1"/>
    </xf>
    <xf numFmtId="0" fontId="10" fillId="0" borderId="6" xfId="12" applyFont="1" applyBorder="1" applyAlignment="1">
      <alignment horizontal="center" vertical="center" wrapText="1"/>
    </xf>
    <xf numFmtId="0" fontId="10" fillId="0" borderId="7" xfId="12" applyFont="1" applyBorder="1" applyAlignment="1">
      <alignment horizontal="center" vertical="center" wrapText="1"/>
    </xf>
    <xf numFmtId="0" fontId="10" fillId="0" borderId="1" xfId="12" applyFont="1" applyBorder="1" applyAlignment="1">
      <alignment horizontal="center" vertical="center" wrapText="1"/>
    </xf>
    <xf numFmtId="0" fontId="10" fillId="0" borderId="1" xfId="12" applyFont="1" applyBorder="1" applyAlignment="1">
      <alignment horizontal="center" vertical="center"/>
    </xf>
    <xf numFmtId="0" fontId="11" fillId="0" borderId="5" xfId="12" applyFont="1" applyBorder="1" applyAlignment="1">
      <alignment horizontal="right" vertical="center"/>
    </xf>
    <xf numFmtId="0" fontId="11" fillId="0" borderId="0" xfId="2" applyFont="1" applyAlignment="1">
      <alignment horizontal="center"/>
    </xf>
    <xf numFmtId="0" fontId="10" fillId="0" borderId="6"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1" xfId="2" applyFont="1" applyBorder="1" applyAlignment="1">
      <alignment horizontal="center"/>
    </xf>
    <xf numFmtId="0" fontId="11" fillId="0" borderId="5" xfId="2" applyFont="1" applyBorder="1" applyAlignment="1">
      <alignment horizontal="right"/>
    </xf>
  </cellXfs>
  <cellStyles count="23">
    <cellStyle name="Comma" xfId="6" builtinId="3"/>
    <cellStyle name="Comma 2" xfId="8"/>
    <cellStyle name="Comma 2 2" xfId="10"/>
    <cellStyle name="Comma 3" xfId="15"/>
    <cellStyle name="Comma 3 2" xfId="1"/>
    <cellStyle name="Comma 4" xfId="3"/>
    <cellStyle name="Comma 5" xfId="11"/>
    <cellStyle name="Comma 6" xfId="16"/>
    <cellStyle name="Comma 7" xfId="17"/>
    <cellStyle name="Normal" xfId="0" builtinId="0"/>
    <cellStyle name="Normal 10 2" xfId="7"/>
    <cellStyle name="Normal 2" xfId="4"/>
    <cellStyle name="Normal 2 2" xfId="22"/>
    <cellStyle name="Normal 3" xfId="5"/>
    <cellStyle name="Normal 3 2" xfId="18"/>
    <cellStyle name="Normal 4" xfId="12"/>
    <cellStyle name="Normal 5" xfId="14"/>
    <cellStyle name="Normal 5 5" xfId="9"/>
    <cellStyle name="Normal 6" xfId="2"/>
    <cellStyle name="Percent 2" xfId="19"/>
    <cellStyle name="Percent 3" xfId="13"/>
    <cellStyle name="Percent 4" xfId="20"/>
    <cellStyle name="Percent 5"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topLeftCell="F1" zoomScaleNormal="100" workbookViewId="0">
      <selection activeCell="L6" sqref="L6"/>
    </sheetView>
  </sheetViews>
  <sheetFormatPr defaultRowHeight="16.5" x14ac:dyDescent="0.25"/>
  <cols>
    <col min="1" max="1" width="4.85546875" style="11" hidden="1" customWidth="1"/>
    <col min="2" max="2" width="58.42578125" style="12" hidden="1" customWidth="1"/>
    <col min="3" max="3" width="11" style="11" hidden="1" customWidth="1"/>
    <col min="4" max="4" width="10.42578125" style="11" hidden="1" customWidth="1"/>
    <col min="5" max="5" width="1.7109375" style="11" hidden="1" customWidth="1"/>
    <col min="6" max="6" width="6.5703125" style="11" customWidth="1"/>
    <col min="7" max="7" width="75.28515625" style="10" customWidth="1"/>
    <col min="8" max="8" width="11.7109375" style="261" customWidth="1"/>
    <col min="9" max="9" width="12.7109375" style="261" customWidth="1"/>
    <col min="10" max="10" width="8.85546875" style="261" customWidth="1"/>
    <col min="11" max="256" width="9.140625" style="1"/>
    <col min="257" max="257" width="4.85546875" style="1" customWidth="1"/>
    <col min="258" max="258" width="58.42578125" style="1" customWidth="1"/>
    <col min="259" max="259" width="13.5703125" style="1" customWidth="1"/>
    <col min="260" max="260" width="13.85546875" style="1" customWidth="1"/>
    <col min="261" max="261" width="20.42578125" style="1" customWidth="1"/>
    <col min="262" max="262" width="6.5703125" style="1" customWidth="1"/>
    <col min="263" max="263" width="63" style="1" customWidth="1"/>
    <col min="264" max="266" width="10.7109375" style="1" customWidth="1"/>
    <col min="267" max="512" width="9.140625" style="1"/>
    <col min="513" max="513" width="4.85546875" style="1" customWidth="1"/>
    <col min="514" max="514" width="58.42578125" style="1" customWidth="1"/>
    <col min="515" max="515" width="13.5703125" style="1" customWidth="1"/>
    <col min="516" max="516" width="13.85546875" style="1" customWidth="1"/>
    <col min="517" max="517" width="20.42578125" style="1" customWidth="1"/>
    <col min="518" max="518" width="6.5703125" style="1" customWidth="1"/>
    <col min="519" max="519" width="63" style="1" customWidth="1"/>
    <col min="520" max="522" width="10.7109375" style="1" customWidth="1"/>
    <col min="523" max="768" width="9.140625" style="1"/>
    <col min="769" max="769" width="4.85546875" style="1" customWidth="1"/>
    <col min="770" max="770" width="58.42578125" style="1" customWidth="1"/>
    <col min="771" max="771" width="13.5703125" style="1" customWidth="1"/>
    <col min="772" max="772" width="13.85546875" style="1" customWidth="1"/>
    <col min="773" max="773" width="20.42578125" style="1" customWidth="1"/>
    <col min="774" max="774" width="6.5703125" style="1" customWidth="1"/>
    <col min="775" max="775" width="63" style="1" customWidth="1"/>
    <col min="776" max="778" width="10.7109375" style="1" customWidth="1"/>
    <col min="779" max="1024" width="9.140625" style="1"/>
    <col min="1025" max="1025" width="4.85546875" style="1" customWidth="1"/>
    <col min="1026" max="1026" width="58.42578125" style="1" customWidth="1"/>
    <col min="1027" max="1027" width="13.5703125" style="1" customWidth="1"/>
    <col min="1028" max="1028" width="13.85546875" style="1" customWidth="1"/>
    <col min="1029" max="1029" width="20.42578125" style="1" customWidth="1"/>
    <col min="1030" max="1030" width="6.5703125" style="1" customWidth="1"/>
    <col min="1031" max="1031" width="63" style="1" customWidth="1"/>
    <col min="1032" max="1034" width="10.7109375" style="1" customWidth="1"/>
    <col min="1035" max="1280" width="9.140625" style="1"/>
    <col min="1281" max="1281" width="4.85546875" style="1" customWidth="1"/>
    <col min="1282" max="1282" width="58.42578125" style="1" customWidth="1"/>
    <col min="1283" max="1283" width="13.5703125" style="1" customWidth="1"/>
    <col min="1284" max="1284" width="13.85546875" style="1" customWidth="1"/>
    <col min="1285" max="1285" width="20.42578125" style="1" customWidth="1"/>
    <col min="1286" max="1286" width="6.5703125" style="1" customWidth="1"/>
    <col min="1287" max="1287" width="63" style="1" customWidth="1"/>
    <col min="1288" max="1290" width="10.7109375" style="1" customWidth="1"/>
    <col min="1291" max="1536" width="9.140625" style="1"/>
    <col min="1537" max="1537" width="4.85546875" style="1" customWidth="1"/>
    <col min="1538" max="1538" width="58.42578125" style="1" customWidth="1"/>
    <col min="1539" max="1539" width="13.5703125" style="1" customWidth="1"/>
    <col min="1540" max="1540" width="13.85546875" style="1" customWidth="1"/>
    <col min="1541" max="1541" width="20.42578125" style="1" customWidth="1"/>
    <col min="1542" max="1542" width="6.5703125" style="1" customWidth="1"/>
    <col min="1543" max="1543" width="63" style="1" customWidth="1"/>
    <col min="1544" max="1546" width="10.7109375" style="1" customWidth="1"/>
    <col min="1547" max="1792" width="9.140625" style="1"/>
    <col min="1793" max="1793" width="4.85546875" style="1" customWidth="1"/>
    <col min="1794" max="1794" width="58.42578125" style="1" customWidth="1"/>
    <col min="1795" max="1795" width="13.5703125" style="1" customWidth="1"/>
    <col min="1796" max="1796" width="13.85546875" style="1" customWidth="1"/>
    <col min="1797" max="1797" width="20.42578125" style="1" customWidth="1"/>
    <col min="1798" max="1798" width="6.5703125" style="1" customWidth="1"/>
    <col min="1799" max="1799" width="63" style="1" customWidth="1"/>
    <col min="1800" max="1802" width="10.7109375" style="1" customWidth="1"/>
    <col min="1803" max="2048" width="9.140625" style="1"/>
    <col min="2049" max="2049" width="4.85546875" style="1" customWidth="1"/>
    <col min="2050" max="2050" width="58.42578125" style="1" customWidth="1"/>
    <col min="2051" max="2051" width="13.5703125" style="1" customWidth="1"/>
    <col min="2052" max="2052" width="13.85546875" style="1" customWidth="1"/>
    <col min="2053" max="2053" width="20.42578125" style="1" customWidth="1"/>
    <col min="2054" max="2054" width="6.5703125" style="1" customWidth="1"/>
    <col min="2055" max="2055" width="63" style="1" customWidth="1"/>
    <col min="2056" max="2058" width="10.7109375" style="1" customWidth="1"/>
    <col min="2059" max="2304" width="9.140625" style="1"/>
    <col min="2305" max="2305" width="4.85546875" style="1" customWidth="1"/>
    <col min="2306" max="2306" width="58.42578125" style="1" customWidth="1"/>
    <col min="2307" max="2307" width="13.5703125" style="1" customWidth="1"/>
    <col min="2308" max="2308" width="13.85546875" style="1" customWidth="1"/>
    <col min="2309" max="2309" width="20.42578125" style="1" customWidth="1"/>
    <col min="2310" max="2310" width="6.5703125" style="1" customWidth="1"/>
    <col min="2311" max="2311" width="63" style="1" customWidth="1"/>
    <col min="2312" max="2314" width="10.7109375" style="1" customWidth="1"/>
    <col min="2315" max="2560" width="9.140625" style="1"/>
    <col min="2561" max="2561" width="4.85546875" style="1" customWidth="1"/>
    <col min="2562" max="2562" width="58.42578125" style="1" customWidth="1"/>
    <col min="2563" max="2563" width="13.5703125" style="1" customWidth="1"/>
    <col min="2564" max="2564" width="13.85546875" style="1" customWidth="1"/>
    <col min="2565" max="2565" width="20.42578125" style="1" customWidth="1"/>
    <col min="2566" max="2566" width="6.5703125" style="1" customWidth="1"/>
    <col min="2567" max="2567" width="63" style="1" customWidth="1"/>
    <col min="2568" max="2570" width="10.7109375" style="1" customWidth="1"/>
    <col min="2571" max="2816" width="9.140625" style="1"/>
    <col min="2817" max="2817" width="4.85546875" style="1" customWidth="1"/>
    <col min="2818" max="2818" width="58.42578125" style="1" customWidth="1"/>
    <col min="2819" max="2819" width="13.5703125" style="1" customWidth="1"/>
    <col min="2820" max="2820" width="13.85546875" style="1" customWidth="1"/>
    <col min="2821" max="2821" width="20.42578125" style="1" customWidth="1"/>
    <col min="2822" max="2822" width="6.5703125" style="1" customWidth="1"/>
    <col min="2823" max="2823" width="63" style="1" customWidth="1"/>
    <col min="2824" max="2826" width="10.7109375" style="1" customWidth="1"/>
    <col min="2827" max="3072" width="9.140625" style="1"/>
    <col min="3073" max="3073" width="4.85546875" style="1" customWidth="1"/>
    <col min="3074" max="3074" width="58.42578125" style="1" customWidth="1"/>
    <col min="3075" max="3075" width="13.5703125" style="1" customWidth="1"/>
    <col min="3076" max="3076" width="13.85546875" style="1" customWidth="1"/>
    <col min="3077" max="3077" width="20.42578125" style="1" customWidth="1"/>
    <col min="3078" max="3078" width="6.5703125" style="1" customWidth="1"/>
    <col min="3079" max="3079" width="63" style="1" customWidth="1"/>
    <col min="3080" max="3082" width="10.7109375" style="1" customWidth="1"/>
    <col min="3083" max="3328" width="9.140625" style="1"/>
    <col min="3329" max="3329" width="4.85546875" style="1" customWidth="1"/>
    <col min="3330" max="3330" width="58.42578125" style="1" customWidth="1"/>
    <col min="3331" max="3331" width="13.5703125" style="1" customWidth="1"/>
    <col min="3332" max="3332" width="13.85546875" style="1" customWidth="1"/>
    <col min="3333" max="3333" width="20.42578125" style="1" customWidth="1"/>
    <col min="3334" max="3334" width="6.5703125" style="1" customWidth="1"/>
    <col min="3335" max="3335" width="63" style="1" customWidth="1"/>
    <col min="3336" max="3338" width="10.7109375" style="1" customWidth="1"/>
    <col min="3339" max="3584" width="9.140625" style="1"/>
    <col min="3585" max="3585" width="4.85546875" style="1" customWidth="1"/>
    <col min="3586" max="3586" width="58.42578125" style="1" customWidth="1"/>
    <col min="3587" max="3587" width="13.5703125" style="1" customWidth="1"/>
    <col min="3588" max="3588" width="13.85546875" style="1" customWidth="1"/>
    <col min="3589" max="3589" width="20.42578125" style="1" customWidth="1"/>
    <col min="3590" max="3590" width="6.5703125" style="1" customWidth="1"/>
    <col min="3591" max="3591" width="63" style="1" customWidth="1"/>
    <col min="3592" max="3594" width="10.7109375" style="1" customWidth="1"/>
    <col min="3595" max="3840" width="9.140625" style="1"/>
    <col min="3841" max="3841" width="4.85546875" style="1" customWidth="1"/>
    <col min="3842" max="3842" width="58.42578125" style="1" customWidth="1"/>
    <col min="3843" max="3843" width="13.5703125" style="1" customWidth="1"/>
    <col min="3844" max="3844" width="13.85546875" style="1" customWidth="1"/>
    <col min="3845" max="3845" width="20.42578125" style="1" customWidth="1"/>
    <col min="3846" max="3846" width="6.5703125" style="1" customWidth="1"/>
    <col min="3847" max="3847" width="63" style="1" customWidth="1"/>
    <col min="3848" max="3850" width="10.7109375" style="1" customWidth="1"/>
    <col min="3851" max="4096" width="9.140625" style="1"/>
    <col min="4097" max="4097" width="4.85546875" style="1" customWidth="1"/>
    <col min="4098" max="4098" width="58.42578125" style="1" customWidth="1"/>
    <col min="4099" max="4099" width="13.5703125" style="1" customWidth="1"/>
    <col min="4100" max="4100" width="13.85546875" style="1" customWidth="1"/>
    <col min="4101" max="4101" width="20.42578125" style="1" customWidth="1"/>
    <col min="4102" max="4102" width="6.5703125" style="1" customWidth="1"/>
    <col min="4103" max="4103" width="63" style="1" customWidth="1"/>
    <col min="4104" max="4106" width="10.7109375" style="1" customWidth="1"/>
    <col min="4107" max="4352" width="9.140625" style="1"/>
    <col min="4353" max="4353" width="4.85546875" style="1" customWidth="1"/>
    <col min="4354" max="4354" width="58.42578125" style="1" customWidth="1"/>
    <col min="4355" max="4355" width="13.5703125" style="1" customWidth="1"/>
    <col min="4356" max="4356" width="13.85546875" style="1" customWidth="1"/>
    <col min="4357" max="4357" width="20.42578125" style="1" customWidth="1"/>
    <col min="4358" max="4358" width="6.5703125" style="1" customWidth="1"/>
    <col min="4359" max="4359" width="63" style="1" customWidth="1"/>
    <col min="4360" max="4362" width="10.7109375" style="1" customWidth="1"/>
    <col min="4363" max="4608" width="9.140625" style="1"/>
    <col min="4609" max="4609" width="4.85546875" style="1" customWidth="1"/>
    <col min="4610" max="4610" width="58.42578125" style="1" customWidth="1"/>
    <col min="4611" max="4611" width="13.5703125" style="1" customWidth="1"/>
    <col min="4612" max="4612" width="13.85546875" style="1" customWidth="1"/>
    <col min="4613" max="4613" width="20.42578125" style="1" customWidth="1"/>
    <col min="4614" max="4614" width="6.5703125" style="1" customWidth="1"/>
    <col min="4615" max="4615" width="63" style="1" customWidth="1"/>
    <col min="4616" max="4618" width="10.7109375" style="1" customWidth="1"/>
    <col min="4619" max="4864" width="9.140625" style="1"/>
    <col min="4865" max="4865" width="4.85546875" style="1" customWidth="1"/>
    <col min="4866" max="4866" width="58.42578125" style="1" customWidth="1"/>
    <col min="4867" max="4867" width="13.5703125" style="1" customWidth="1"/>
    <col min="4868" max="4868" width="13.85546875" style="1" customWidth="1"/>
    <col min="4869" max="4869" width="20.42578125" style="1" customWidth="1"/>
    <col min="4870" max="4870" width="6.5703125" style="1" customWidth="1"/>
    <col min="4871" max="4871" width="63" style="1" customWidth="1"/>
    <col min="4872" max="4874" width="10.7109375" style="1" customWidth="1"/>
    <col min="4875" max="5120" width="9.140625" style="1"/>
    <col min="5121" max="5121" width="4.85546875" style="1" customWidth="1"/>
    <col min="5122" max="5122" width="58.42578125" style="1" customWidth="1"/>
    <col min="5123" max="5123" width="13.5703125" style="1" customWidth="1"/>
    <col min="5124" max="5124" width="13.85546875" style="1" customWidth="1"/>
    <col min="5125" max="5125" width="20.42578125" style="1" customWidth="1"/>
    <col min="5126" max="5126" width="6.5703125" style="1" customWidth="1"/>
    <col min="5127" max="5127" width="63" style="1" customWidth="1"/>
    <col min="5128" max="5130" width="10.7109375" style="1" customWidth="1"/>
    <col min="5131" max="5376" width="9.140625" style="1"/>
    <col min="5377" max="5377" width="4.85546875" style="1" customWidth="1"/>
    <col min="5378" max="5378" width="58.42578125" style="1" customWidth="1"/>
    <col min="5379" max="5379" width="13.5703125" style="1" customWidth="1"/>
    <col min="5380" max="5380" width="13.85546875" style="1" customWidth="1"/>
    <col min="5381" max="5381" width="20.42578125" style="1" customWidth="1"/>
    <col min="5382" max="5382" width="6.5703125" style="1" customWidth="1"/>
    <col min="5383" max="5383" width="63" style="1" customWidth="1"/>
    <col min="5384" max="5386" width="10.7109375" style="1" customWidth="1"/>
    <col min="5387" max="5632" width="9.140625" style="1"/>
    <col min="5633" max="5633" width="4.85546875" style="1" customWidth="1"/>
    <col min="5634" max="5634" width="58.42578125" style="1" customWidth="1"/>
    <col min="5635" max="5635" width="13.5703125" style="1" customWidth="1"/>
    <col min="5636" max="5636" width="13.85546875" style="1" customWidth="1"/>
    <col min="5637" max="5637" width="20.42578125" style="1" customWidth="1"/>
    <col min="5638" max="5638" width="6.5703125" style="1" customWidth="1"/>
    <col min="5639" max="5639" width="63" style="1" customWidth="1"/>
    <col min="5640" max="5642" width="10.7109375" style="1" customWidth="1"/>
    <col min="5643" max="5888" width="9.140625" style="1"/>
    <col min="5889" max="5889" width="4.85546875" style="1" customWidth="1"/>
    <col min="5890" max="5890" width="58.42578125" style="1" customWidth="1"/>
    <col min="5891" max="5891" width="13.5703125" style="1" customWidth="1"/>
    <col min="5892" max="5892" width="13.85546875" style="1" customWidth="1"/>
    <col min="5893" max="5893" width="20.42578125" style="1" customWidth="1"/>
    <col min="5894" max="5894" width="6.5703125" style="1" customWidth="1"/>
    <col min="5895" max="5895" width="63" style="1" customWidth="1"/>
    <col min="5896" max="5898" width="10.7109375" style="1" customWidth="1"/>
    <col min="5899" max="6144" width="9.140625" style="1"/>
    <col min="6145" max="6145" width="4.85546875" style="1" customWidth="1"/>
    <col min="6146" max="6146" width="58.42578125" style="1" customWidth="1"/>
    <col min="6147" max="6147" width="13.5703125" style="1" customWidth="1"/>
    <col min="6148" max="6148" width="13.85546875" style="1" customWidth="1"/>
    <col min="6149" max="6149" width="20.42578125" style="1" customWidth="1"/>
    <col min="6150" max="6150" width="6.5703125" style="1" customWidth="1"/>
    <col min="6151" max="6151" width="63" style="1" customWidth="1"/>
    <col min="6152" max="6154" width="10.7109375" style="1" customWidth="1"/>
    <col min="6155" max="6400" width="9.140625" style="1"/>
    <col min="6401" max="6401" width="4.85546875" style="1" customWidth="1"/>
    <col min="6402" max="6402" width="58.42578125" style="1" customWidth="1"/>
    <col min="6403" max="6403" width="13.5703125" style="1" customWidth="1"/>
    <col min="6404" max="6404" width="13.85546875" style="1" customWidth="1"/>
    <col min="6405" max="6405" width="20.42578125" style="1" customWidth="1"/>
    <col min="6406" max="6406" width="6.5703125" style="1" customWidth="1"/>
    <col min="6407" max="6407" width="63" style="1" customWidth="1"/>
    <col min="6408" max="6410" width="10.7109375" style="1" customWidth="1"/>
    <col min="6411" max="6656" width="9.140625" style="1"/>
    <col min="6657" max="6657" width="4.85546875" style="1" customWidth="1"/>
    <col min="6658" max="6658" width="58.42578125" style="1" customWidth="1"/>
    <col min="6659" max="6659" width="13.5703125" style="1" customWidth="1"/>
    <col min="6660" max="6660" width="13.85546875" style="1" customWidth="1"/>
    <col min="6661" max="6661" width="20.42578125" style="1" customWidth="1"/>
    <col min="6662" max="6662" width="6.5703125" style="1" customWidth="1"/>
    <col min="6663" max="6663" width="63" style="1" customWidth="1"/>
    <col min="6664" max="6666" width="10.7109375" style="1" customWidth="1"/>
    <col min="6667" max="6912" width="9.140625" style="1"/>
    <col min="6913" max="6913" width="4.85546875" style="1" customWidth="1"/>
    <col min="6914" max="6914" width="58.42578125" style="1" customWidth="1"/>
    <col min="6915" max="6915" width="13.5703125" style="1" customWidth="1"/>
    <col min="6916" max="6916" width="13.85546875" style="1" customWidth="1"/>
    <col min="6917" max="6917" width="20.42578125" style="1" customWidth="1"/>
    <col min="6918" max="6918" width="6.5703125" style="1" customWidth="1"/>
    <col min="6919" max="6919" width="63" style="1" customWidth="1"/>
    <col min="6920" max="6922" width="10.7109375" style="1" customWidth="1"/>
    <col min="6923" max="7168" width="9.140625" style="1"/>
    <col min="7169" max="7169" width="4.85546875" style="1" customWidth="1"/>
    <col min="7170" max="7170" width="58.42578125" style="1" customWidth="1"/>
    <col min="7171" max="7171" width="13.5703125" style="1" customWidth="1"/>
    <col min="7172" max="7172" width="13.85546875" style="1" customWidth="1"/>
    <col min="7173" max="7173" width="20.42578125" style="1" customWidth="1"/>
    <col min="7174" max="7174" width="6.5703125" style="1" customWidth="1"/>
    <col min="7175" max="7175" width="63" style="1" customWidth="1"/>
    <col min="7176" max="7178" width="10.7109375" style="1" customWidth="1"/>
    <col min="7179" max="7424" width="9.140625" style="1"/>
    <col min="7425" max="7425" width="4.85546875" style="1" customWidth="1"/>
    <col min="7426" max="7426" width="58.42578125" style="1" customWidth="1"/>
    <col min="7427" max="7427" width="13.5703125" style="1" customWidth="1"/>
    <col min="7428" max="7428" width="13.85546875" style="1" customWidth="1"/>
    <col min="7429" max="7429" width="20.42578125" style="1" customWidth="1"/>
    <col min="7430" max="7430" width="6.5703125" style="1" customWidth="1"/>
    <col min="7431" max="7431" width="63" style="1" customWidth="1"/>
    <col min="7432" max="7434" width="10.7109375" style="1" customWidth="1"/>
    <col min="7435" max="7680" width="9.140625" style="1"/>
    <col min="7681" max="7681" width="4.85546875" style="1" customWidth="1"/>
    <col min="7682" max="7682" width="58.42578125" style="1" customWidth="1"/>
    <col min="7683" max="7683" width="13.5703125" style="1" customWidth="1"/>
    <col min="7684" max="7684" width="13.85546875" style="1" customWidth="1"/>
    <col min="7685" max="7685" width="20.42578125" style="1" customWidth="1"/>
    <col min="7686" max="7686" width="6.5703125" style="1" customWidth="1"/>
    <col min="7687" max="7687" width="63" style="1" customWidth="1"/>
    <col min="7688" max="7690" width="10.7109375" style="1" customWidth="1"/>
    <col min="7691" max="7936" width="9.140625" style="1"/>
    <col min="7937" max="7937" width="4.85546875" style="1" customWidth="1"/>
    <col min="7938" max="7938" width="58.42578125" style="1" customWidth="1"/>
    <col min="7939" max="7939" width="13.5703125" style="1" customWidth="1"/>
    <col min="7940" max="7940" width="13.85546875" style="1" customWidth="1"/>
    <col min="7941" max="7941" width="20.42578125" style="1" customWidth="1"/>
    <col min="7942" max="7942" width="6.5703125" style="1" customWidth="1"/>
    <col min="7943" max="7943" width="63" style="1" customWidth="1"/>
    <col min="7944" max="7946" width="10.7109375" style="1" customWidth="1"/>
    <col min="7947" max="8192" width="9.140625" style="1"/>
    <col min="8193" max="8193" width="4.85546875" style="1" customWidth="1"/>
    <col min="8194" max="8194" width="58.42578125" style="1" customWidth="1"/>
    <col min="8195" max="8195" width="13.5703125" style="1" customWidth="1"/>
    <col min="8196" max="8196" width="13.85546875" style="1" customWidth="1"/>
    <col min="8197" max="8197" width="20.42578125" style="1" customWidth="1"/>
    <col min="8198" max="8198" width="6.5703125" style="1" customWidth="1"/>
    <col min="8199" max="8199" width="63" style="1" customWidth="1"/>
    <col min="8200" max="8202" width="10.7109375" style="1" customWidth="1"/>
    <col min="8203" max="8448" width="9.140625" style="1"/>
    <col min="8449" max="8449" width="4.85546875" style="1" customWidth="1"/>
    <col min="8450" max="8450" width="58.42578125" style="1" customWidth="1"/>
    <col min="8451" max="8451" width="13.5703125" style="1" customWidth="1"/>
    <col min="8452" max="8452" width="13.85546875" style="1" customWidth="1"/>
    <col min="8453" max="8453" width="20.42578125" style="1" customWidth="1"/>
    <col min="8454" max="8454" width="6.5703125" style="1" customWidth="1"/>
    <col min="8455" max="8455" width="63" style="1" customWidth="1"/>
    <col min="8456" max="8458" width="10.7109375" style="1" customWidth="1"/>
    <col min="8459" max="8704" width="9.140625" style="1"/>
    <col min="8705" max="8705" width="4.85546875" style="1" customWidth="1"/>
    <col min="8706" max="8706" width="58.42578125" style="1" customWidth="1"/>
    <col min="8707" max="8707" width="13.5703125" style="1" customWidth="1"/>
    <col min="8708" max="8708" width="13.85546875" style="1" customWidth="1"/>
    <col min="8709" max="8709" width="20.42578125" style="1" customWidth="1"/>
    <col min="8710" max="8710" width="6.5703125" style="1" customWidth="1"/>
    <col min="8711" max="8711" width="63" style="1" customWidth="1"/>
    <col min="8712" max="8714" width="10.7109375" style="1" customWidth="1"/>
    <col min="8715" max="8960" width="9.140625" style="1"/>
    <col min="8961" max="8961" width="4.85546875" style="1" customWidth="1"/>
    <col min="8962" max="8962" width="58.42578125" style="1" customWidth="1"/>
    <col min="8963" max="8963" width="13.5703125" style="1" customWidth="1"/>
    <col min="8964" max="8964" width="13.85546875" style="1" customWidth="1"/>
    <col min="8965" max="8965" width="20.42578125" style="1" customWidth="1"/>
    <col min="8966" max="8966" width="6.5703125" style="1" customWidth="1"/>
    <col min="8967" max="8967" width="63" style="1" customWidth="1"/>
    <col min="8968" max="8970" width="10.7109375" style="1" customWidth="1"/>
    <col min="8971" max="9216" width="9.140625" style="1"/>
    <col min="9217" max="9217" width="4.85546875" style="1" customWidth="1"/>
    <col min="9218" max="9218" width="58.42578125" style="1" customWidth="1"/>
    <col min="9219" max="9219" width="13.5703125" style="1" customWidth="1"/>
    <col min="9220" max="9220" width="13.85546875" style="1" customWidth="1"/>
    <col min="9221" max="9221" width="20.42578125" style="1" customWidth="1"/>
    <col min="9222" max="9222" width="6.5703125" style="1" customWidth="1"/>
    <col min="9223" max="9223" width="63" style="1" customWidth="1"/>
    <col min="9224" max="9226" width="10.7109375" style="1" customWidth="1"/>
    <col min="9227" max="9472" width="9.140625" style="1"/>
    <col min="9473" max="9473" width="4.85546875" style="1" customWidth="1"/>
    <col min="9474" max="9474" width="58.42578125" style="1" customWidth="1"/>
    <col min="9475" max="9475" width="13.5703125" style="1" customWidth="1"/>
    <col min="9476" max="9476" width="13.85546875" style="1" customWidth="1"/>
    <col min="9477" max="9477" width="20.42578125" style="1" customWidth="1"/>
    <col min="9478" max="9478" width="6.5703125" style="1" customWidth="1"/>
    <col min="9479" max="9479" width="63" style="1" customWidth="1"/>
    <col min="9480" max="9482" width="10.7109375" style="1" customWidth="1"/>
    <col min="9483" max="9728" width="9.140625" style="1"/>
    <col min="9729" max="9729" width="4.85546875" style="1" customWidth="1"/>
    <col min="9730" max="9730" width="58.42578125" style="1" customWidth="1"/>
    <col min="9731" max="9731" width="13.5703125" style="1" customWidth="1"/>
    <col min="9732" max="9732" width="13.85546875" style="1" customWidth="1"/>
    <col min="9733" max="9733" width="20.42578125" style="1" customWidth="1"/>
    <col min="9734" max="9734" width="6.5703125" style="1" customWidth="1"/>
    <col min="9735" max="9735" width="63" style="1" customWidth="1"/>
    <col min="9736" max="9738" width="10.7109375" style="1" customWidth="1"/>
    <col min="9739" max="9984" width="9.140625" style="1"/>
    <col min="9985" max="9985" width="4.85546875" style="1" customWidth="1"/>
    <col min="9986" max="9986" width="58.42578125" style="1" customWidth="1"/>
    <col min="9987" max="9987" width="13.5703125" style="1" customWidth="1"/>
    <col min="9988" max="9988" width="13.85546875" style="1" customWidth="1"/>
    <col min="9989" max="9989" width="20.42578125" style="1" customWidth="1"/>
    <col min="9990" max="9990" width="6.5703125" style="1" customWidth="1"/>
    <col min="9991" max="9991" width="63" style="1" customWidth="1"/>
    <col min="9992" max="9994" width="10.7109375" style="1" customWidth="1"/>
    <col min="9995" max="10240" width="9.140625" style="1"/>
    <col min="10241" max="10241" width="4.85546875" style="1" customWidth="1"/>
    <col min="10242" max="10242" width="58.42578125" style="1" customWidth="1"/>
    <col min="10243" max="10243" width="13.5703125" style="1" customWidth="1"/>
    <col min="10244" max="10244" width="13.85546875" style="1" customWidth="1"/>
    <col min="10245" max="10245" width="20.42578125" style="1" customWidth="1"/>
    <col min="10246" max="10246" width="6.5703125" style="1" customWidth="1"/>
    <col min="10247" max="10247" width="63" style="1" customWidth="1"/>
    <col min="10248" max="10250" width="10.7109375" style="1" customWidth="1"/>
    <col min="10251" max="10496" width="9.140625" style="1"/>
    <col min="10497" max="10497" width="4.85546875" style="1" customWidth="1"/>
    <col min="10498" max="10498" width="58.42578125" style="1" customWidth="1"/>
    <col min="10499" max="10499" width="13.5703125" style="1" customWidth="1"/>
    <col min="10500" max="10500" width="13.85546875" style="1" customWidth="1"/>
    <col min="10501" max="10501" width="20.42578125" style="1" customWidth="1"/>
    <col min="10502" max="10502" width="6.5703125" style="1" customWidth="1"/>
    <col min="10503" max="10503" width="63" style="1" customWidth="1"/>
    <col min="10504" max="10506" width="10.7109375" style="1" customWidth="1"/>
    <col min="10507" max="10752" width="9.140625" style="1"/>
    <col min="10753" max="10753" width="4.85546875" style="1" customWidth="1"/>
    <col min="10754" max="10754" width="58.42578125" style="1" customWidth="1"/>
    <col min="10755" max="10755" width="13.5703125" style="1" customWidth="1"/>
    <col min="10756" max="10756" width="13.85546875" style="1" customWidth="1"/>
    <col min="10757" max="10757" width="20.42578125" style="1" customWidth="1"/>
    <col min="10758" max="10758" width="6.5703125" style="1" customWidth="1"/>
    <col min="10759" max="10759" width="63" style="1" customWidth="1"/>
    <col min="10760" max="10762" width="10.7109375" style="1" customWidth="1"/>
    <col min="10763" max="11008" width="9.140625" style="1"/>
    <col min="11009" max="11009" width="4.85546875" style="1" customWidth="1"/>
    <col min="11010" max="11010" width="58.42578125" style="1" customWidth="1"/>
    <col min="11011" max="11011" width="13.5703125" style="1" customWidth="1"/>
    <col min="11012" max="11012" width="13.85546875" style="1" customWidth="1"/>
    <col min="11013" max="11013" width="20.42578125" style="1" customWidth="1"/>
    <col min="11014" max="11014" width="6.5703125" style="1" customWidth="1"/>
    <col min="11015" max="11015" width="63" style="1" customWidth="1"/>
    <col min="11016" max="11018" width="10.7109375" style="1" customWidth="1"/>
    <col min="11019" max="11264" width="9.140625" style="1"/>
    <col min="11265" max="11265" width="4.85546875" style="1" customWidth="1"/>
    <col min="11266" max="11266" width="58.42578125" style="1" customWidth="1"/>
    <col min="11267" max="11267" width="13.5703125" style="1" customWidth="1"/>
    <col min="11268" max="11268" width="13.85546875" style="1" customWidth="1"/>
    <col min="11269" max="11269" width="20.42578125" style="1" customWidth="1"/>
    <col min="11270" max="11270" width="6.5703125" style="1" customWidth="1"/>
    <col min="11271" max="11271" width="63" style="1" customWidth="1"/>
    <col min="11272" max="11274" width="10.7109375" style="1" customWidth="1"/>
    <col min="11275" max="11520" width="9.140625" style="1"/>
    <col min="11521" max="11521" width="4.85546875" style="1" customWidth="1"/>
    <col min="11522" max="11522" width="58.42578125" style="1" customWidth="1"/>
    <col min="11523" max="11523" width="13.5703125" style="1" customWidth="1"/>
    <col min="11524" max="11524" width="13.85546875" style="1" customWidth="1"/>
    <col min="11525" max="11525" width="20.42578125" style="1" customWidth="1"/>
    <col min="11526" max="11526" width="6.5703125" style="1" customWidth="1"/>
    <col min="11527" max="11527" width="63" style="1" customWidth="1"/>
    <col min="11528" max="11530" width="10.7109375" style="1" customWidth="1"/>
    <col min="11531" max="11776" width="9.140625" style="1"/>
    <col min="11777" max="11777" width="4.85546875" style="1" customWidth="1"/>
    <col min="11778" max="11778" width="58.42578125" style="1" customWidth="1"/>
    <col min="11779" max="11779" width="13.5703125" style="1" customWidth="1"/>
    <col min="11780" max="11780" width="13.85546875" style="1" customWidth="1"/>
    <col min="11781" max="11781" width="20.42578125" style="1" customWidth="1"/>
    <col min="11782" max="11782" width="6.5703125" style="1" customWidth="1"/>
    <col min="11783" max="11783" width="63" style="1" customWidth="1"/>
    <col min="11784" max="11786" width="10.7109375" style="1" customWidth="1"/>
    <col min="11787" max="12032" width="9.140625" style="1"/>
    <col min="12033" max="12033" width="4.85546875" style="1" customWidth="1"/>
    <col min="12034" max="12034" width="58.42578125" style="1" customWidth="1"/>
    <col min="12035" max="12035" width="13.5703125" style="1" customWidth="1"/>
    <col min="12036" max="12036" width="13.85546875" style="1" customWidth="1"/>
    <col min="12037" max="12037" width="20.42578125" style="1" customWidth="1"/>
    <col min="12038" max="12038" width="6.5703125" style="1" customWidth="1"/>
    <col min="12039" max="12039" width="63" style="1" customWidth="1"/>
    <col min="12040" max="12042" width="10.7109375" style="1" customWidth="1"/>
    <col min="12043" max="12288" width="9.140625" style="1"/>
    <col min="12289" max="12289" width="4.85546875" style="1" customWidth="1"/>
    <col min="12290" max="12290" width="58.42578125" style="1" customWidth="1"/>
    <col min="12291" max="12291" width="13.5703125" style="1" customWidth="1"/>
    <col min="12292" max="12292" width="13.85546875" style="1" customWidth="1"/>
    <col min="12293" max="12293" width="20.42578125" style="1" customWidth="1"/>
    <col min="12294" max="12294" width="6.5703125" style="1" customWidth="1"/>
    <col min="12295" max="12295" width="63" style="1" customWidth="1"/>
    <col min="12296" max="12298" width="10.7109375" style="1" customWidth="1"/>
    <col min="12299" max="12544" width="9.140625" style="1"/>
    <col min="12545" max="12545" width="4.85546875" style="1" customWidth="1"/>
    <col min="12546" max="12546" width="58.42578125" style="1" customWidth="1"/>
    <col min="12547" max="12547" width="13.5703125" style="1" customWidth="1"/>
    <col min="12548" max="12548" width="13.85546875" style="1" customWidth="1"/>
    <col min="12549" max="12549" width="20.42578125" style="1" customWidth="1"/>
    <col min="12550" max="12550" width="6.5703125" style="1" customWidth="1"/>
    <col min="12551" max="12551" width="63" style="1" customWidth="1"/>
    <col min="12552" max="12554" width="10.7109375" style="1" customWidth="1"/>
    <col min="12555" max="12800" width="9.140625" style="1"/>
    <col min="12801" max="12801" width="4.85546875" style="1" customWidth="1"/>
    <col min="12802" max="12802" width="58.42578125" style="1" customWidth="1"/>
    <col min="12803" max="12803" width="13.5703125" style="1" customWidth="1"/>
    <col min="12804" max="12804" width="13.85546875" style="1" customWidth="1"/>
    <col min="12805" max="12805" width="20.42578125" style="1" customWidth="1"/>
    <col min="12806" max="12806" width="6.5703125" style="1" customWidth="1"/>
    <col min="12807" max="12807" width="63" style="1" customWidth="1"/>
    <col min="12808" max="12810" width="10.7109375" style="1" customWidth="1"/>
    <col min="12811" max="13056" width="9.140625" style="1"/>
    <col min="13057" max="13057" width="4.85546875" style="1" customWidth="1"/>
    <col min="13058" max="13058" width="58.42578125" style="1" customWidth="1"/>
    <col min="13059" max="13059" width="13.5703125" style="1" customWidth="1"/>
    <col min="13060" max="13060" width="13.85546875" style="1" customWidth="1"/>
    <col min="13061" max="13061" width="20.42578125" style="1" customWidth="1"/>
    <col min="13062" max="13062" width="6.5703125" style="1" customWidth="1"/>
    <col min="13063" max="13063" width="63" style="1" customWidth="1"/>
    <col min="13064" max="13066" width="10.7109375" style="1" customWidth="1"/>
    <col min="13067" max="13312" width="9.140625" style="1"/>
    <col min="13313" max="13313" width="4.85546875" style="1" customWidth="1"/>
    <col min="13314" max="13314" width="58.42578125" style="1" customWidth="1"/>
    <col min="13315" max="13315" width="13.5703125" style="1" customWidth="1"/>
    <col min="13316" max="13316" width="13.85546875" style="1" customWidth="1"/>
    <col min="13317" max="13317" width="20.42578125" style="1" customWidth="1"/>
    <col min="13318" max="13318" width="6.5703125" style="1" customWidth="1"/>
    <col min="13319" max="13319" width="63" style="1" customWidth="1"/>
    <col min="13320" max="13322" width="10.7109375" style="1" customWidth="1"/>
    <col min="13323" max="13568" width="9.140625" style="1"/>
    <col min="13569" max="13569" width="4.85546875" style="1" customWidth="1"/>
    <col min="13570" max="13570" width="58.42578125" style="1" customWidth="1"/>
    <col min="13571" max="13571" width="13.5703125" style="1" customWidth="1"/>
    <col min="13572" max="13572" width="13.85546875" style="1" customWidth="1"/>
    <col min="13573" max="13573" width="20.42578125" style="1" customWidth="1"/>
    <col min="13574" max="13574" width="6.5703125" style="1" customWidth="1"/>
    <col min="13575" max="13575" width="63" style="1" customWidth="1"/>
    <col min="13576" max="13578" width="10.7109375" style="1" customWidth="1"/>
    <col min="13579" max="13824" width="9.140625" style="1"/>
    <col min="13825" max="13825" width="4.85546875" style="1" customWidth="1"/>
    <col min="13826" max="13826" width="58.42578125" style="1" customWidth="1"/>
    <col min="13827" max="13827" width="13.5703125" style="1" customWidth="1"/>
    <col min="13828" max="13828" width="13.85546875" style="1" customWidth="1"/>
    <col min="13829" max="13829" width="20.42578125" style="1" customWidth="1"/>
    <col min="13830" max="13830" width="6.5703125" style="1" customWidth="1"/>
    <col min="13831" max="13831" width="63" style="1" customWidth="1"/>
    <col min="13832" max="13834" width="10.7109375" style="1" customWidth="1"/>
    <col min="13835" max="14080" width="9.140625" style="1"/>
    <col min="14081" max="14081" width="4.85546875" style="1" customWidth="1"/>
    <col min="14082" max="14082" width="58.42578125" style="1" customWidth="1"/>
    <col min="14083" max="14083" width="13.5703125" style="1" customWidth="1"/>
    <col min="14084" max="14084" width="13.85546875" style="1" customWidth="1"/>
    <col min="14085" max="14085" width="20.42578125" style="1" customWidth="1"/>
    <col min="14086" max="14086" width="6.5703125" style="1" customWidth="1"/>
    <col min="14087" max="14087" width="63" style="1" customWidth="1"/>
    <col min="14088" max="14090" width="10.7109375" style="1" customWidth="1"/>
    <col min="14091" max="14336" width="9.140625" style="1"/>
    <col min="14337" max="14337" width="4.85546875" style="1" customWidth="1"/>
    <col min="14338" max="14338" width="58.42578125" style="1" customWidth="1"/>
    <col min="14339" max="14339" width="13.5703125" style="1" customWidth="1"/>
    <col min="14340" max="14340" width="13.85546875" style="1" customWidth="1"/>
    <col min="14341" max="14341" width="20.42578125" style="1" customWidth="1"/>
    <col min="14342" max="14342" width="6.5703125" style="1" customWidth="1"/>
    <col min="14343" max="14343" width="63" style="1" customWidth="1"/>
    <col min="14344" max="14346" width="10.7109375" style="1" customWidth="1"/>
    <col min="14347" max="14592" width="9.140625" style="1"/>
    <col min="14593" max="14593" width="4.85546875" style="1" customWidth="1"/>
    <col min="14594" max="14594" width="58.42578125" style="1" customWidth="1"/>
    <col min="14595" max="14595" width="13.5703125" style="1" customWidth="1"/>
    <col min="14596" max="14596" width="13.85546875" style="1" customWidth="1"/>
    <col min="14597" max="14597" width="20.42578125" style="1" customWidth="1"/>
    <col min="14598" max="14598" width="6.5703125" style="1" customWidth="1"/>
    <col min="14599" max="14599" width="63" style="1" customWidth="1"/>
    <col min="14600" max="14602" width="10.7109375" style="1" customWidth="1"/>
    <col min="14603" max="14848" width="9.140625" style="1"/>
    <col min="14849" max="14849" width="4.85546875" style="1" customWidth="1"/>
    <col min="14850" max="14850" width="58.42578125" style="1" customWidth="1"/>
    <col min="14851" max="14851" width="13.5703125" style="1" customWidth="1"/>
    <col min="14852" max="14852" width="13.85546875" style="1" customWidth="1"/>
    <col min="14853" max="14853" width="20.42578125" style="1" customWidth="1"/>
    <col min="14854" max="14854" width="6.5703125" style="1" customWidth="1"/>
    <col min="14855" max="14855" width="63" style="1" customWidth="1"/>
    <col min="14856" max="14858" width="10.7109375" style="1" customWidth="1"/>
    <col min="14859" max="15104" width="9.140625" style="1"/>
    <col min="15105" max="15105" width="4.85546875" style="1" customWidth="1"/>
    <col min="15106" max="15106" width="58.42578125" style="1" customWidth="1"/>
    <col min="15107" max="15107" width="13.5703125" style="1" customWidth="1"/>
    <col min="15108" max="15108" width="13.85546875" style="1" customWidth="1"/>
    <col min="15109" max="15109" width="20.42578125" style="1" customWidth="1"/>
    <col min="15110" max="15110" width="6.5703125" style="1" customWidth="1"/>
    <col min="15111" max="15111" width="63" style="1" customWidth="1"/>
    <col min="15112" max="15114" width="10.7109375" style="1" customWidth="1"/>
    <col min="15115" max="15360" width="9.140625" style="1"/>
    <col min="15361" max="15361" width="4.85546875" style="1" customWidth="1"/>
    <col min="15362" max="15362" width="58.42578125" style="1" customWidth="1"/>
    <col min="15363" max="15363" width="13.5703125" style="1" customWidth="1"/>
    <col min="15364" max="15364" width="13.85546875" style="1" customWidth="1"/>
    <col min="15365" max="15365" width="20.42578125" style="1" customWidth="1"/>
    <col min="15366" max="15366" width="6.5703125" style="1" customWidth="1"/>
    <col min="15367" max="15367" width="63" style="1" customWidth="1"/>
    <col min="15368" max="15370" width="10.7109375" style="1" customWidth="1"/>
    <col min="15371" max="15616" width="9.140625" style="1"/>
    <col min="15617" max="15617" width="4.85546875" style="1" customWidth="1"/>
    <col min="15618" max="15618" width="58.42578125" style="1" customWidth="1"/>
    <col min="15619" max="15619" width="13.5703125" style="1" customWidth="1"/>
    <col min="15620" max="15620" width="13.85546875" style="1" customWidth="1"/>
    <col min="15621" max="15621" width="20.42578125" style="1" customWidth="1"/>
    <col min="15622" max="15622" width="6.5703125" style="1" customWidth="1"/>
    <col min="15623" max="15623" width="63" style="1" customWidth="1"/>
    <col min="15624" max="15626" width="10.7109375" style="1" customWidth="1"/>
    <col min="15627" max="15872" width="9.140625" style="1"/>
    <col min="15873" max="15873" width="4.85546875" style="1" customWidth="1"/>
    <col min="15874" max="15874" width="58.42578125" style="1" customWidth="1"/>
    <col min="15875" max="15875" width="13.5703125" style="1" customWidth="1"/>
    <col min="15876" max="15876" width="13.85546875" style="1" customWidth="1"/>
    <col min="15877" max="15877" width="20.42578125" style="1" customWidth="1"/>
    <col min="15878" max="15878" width="6.5703125" style="1" customWidth="1"/>
    <col min="15879" max="15879" width="63" style="1" customWidth="1"/>
    <col min="15880" max="15882" width="10.7109375" style="1" customWidth="1"/>
    <col min="15883" max="16128" width="9.140625" style="1"/>
    <col min="16129" max="16129" width="4.85546875" style="1" customWidth="1"/>
    <col min="16130" max="16130" width="58.42578125" style="1" customWidth="1"/>
    <col min="16131" max="16131" width="13.5703125" style="1" customWidth="1"/>
    <col min="16132" max="16132" width="13.85546875" style="1" customWidth="1"/>
    <col min="16133" max="16133" width="20.42578125" style="1" customWidth="1"/>
    <col min="16134" max="16134" width="6.5703125" style="1" customWidth="1"/>
    <col min="16135" max="16135" width="63" style="1" customWidth="1"/>
    <col min="16136" max="16138" width="10.7109375" style="1" customWidth="1"/>
    <col min="16139" max="16384" width="9.140625" style="1"/>
  </cols>
  <sheetData>
    <row r="1" spans="1:10" ht="22.5" customHeight="1" x14ac:dyDescent="0.25">
      <c r="A1" s="358" t="s">
        <v>933</v>
      </c>
      <c r="B1" s="358"/>
      <c r="C1" s="358"/>
      <c r="D1" s="358"/>
      <c r="E1" s="358"/>
      <c r="F1" s="359" t="s">
        <v>1318</v>
      </c>
      <c r="G1" s="359"/>
      <c r="H1" s="359"/>
      <c r="I1" s="359"/>
      <c r="J1" s="359"/>
    </row>
    <row r="2" spans="1:10" ht="24" customHeight="1" x14ac:dyDescent="0.25">
      <c r="A2" s="208"/>
      <c r="B2" s="208"/>
      <c r="C2" s="208"/>
      <c r="D2" s="208"/>
      <c r="E2" s="208"/>
      <c r="F2" s="208"/>
      <c r="G2" s="364" t="s">
        <v>962</v>
      </c>
      <c r="H2" s="364"/>
      <c r="I2" s="364"/>
      <c r="J2" s="364"/>
    </row>
    <row r="3" spans="1:10" ht="18.75" customHeight="1" x14ac:dyDescent="0.25">
      <c r="A3" s="360" t="s">
        <v>0</v>
      </c>
      <c r="B3" s="362" t="s">
        <v>1</v>
      </c>
      <c r="C3" s="363" t="s">
        <v>2</v>
      </c>
      <c r="D3" s="363"/>
      <c r="E3" s="363"/>
      <c r="F3" s="362" t="s">
        <v>0</v>
      </c>
      <c r="G3" s="362" t="s">
        <v>1</v>
      </c>
      <c r="H3" s="363" t="s">
        <v>1135</v>
      </c>
      <c r="I3" s="363"/>
      <c r="J3" s="363"/>
    </row>
    <row r="4" spans="1:10" ht="14.25" customHeight="1" x14ac:dyDescent="0.25">
      <c r="A4" s="361"/>
      <c r="B4" s="362"/>
      <c r="C4" s="29" t="s">
        <v>934</v>
      </c>
      <c r="D4" s="29" t="s">
        <v>935</v>
      </c>
      <c r="E4" s="29" t="s">
        <v>936</v>
      </c>
      <c r="F4" s="362"/>
      <c r="G4" s="362"/>
      <c r="H4" s="82" t="s">
        <v>6</v>
      </c>
      <c r="I4" s="82" t="s">
        <v>3</v>
      </c>
      <c r="J4" s="82" t="s">
        <v>7</v>
      </c>
    </row>
    <row r="5" spans="1:10" ht="27" customHeight="1" x14ac:dyDescent="0.25">
      <c r="A5" s="29">
        <v>1</v>
      </c>
      <c r="B5" s="2" t="s">
        <v>937</v>
      </c>
      <c r="C5" s="28"/>
      <c r="D5" s="3"/>
      <c r="E5" s="3"/>
      <c r="F5" s="29">
        <v>1</v>
      </c>
      <c r="G5" s="2" t="s">
        <v>937</v>
      </c>
      <c r="H5" s="28"/>
      <c r="I5" s="3"/>
      <c r="J5" s="3"/>
    </row>
    <row r="6" spans="1:10" ht="99" x14ac:dyDescent="0.25">
      <c r="A6" s="291" t="s">
        <v>938</v>
      </c>
      <c r="B6" s="292"/>
      <c r="C6" s="292"/>
      <c r="D6" s="292"/>
      <c r="E6" s="293"/>
      <c r="F6" s="4" t="s">
        <v>567</v>
      </c>
      <c r="G6" s="5" t="s">
        <v>939</v>
      </c>
      <c r="H6" s="273">
        <f>1000*1.1</f>
        <v>1100</v>
      </c>
      <c r="I6" s="6">
        <f>500*1.1</f>
        <v>550</v>
      </c>
      <c r="J6" s="6">
        <f>300*1.1</f>
        <v>330</v>
      </c>
    </row>
    <row r="7" spans="1:10" ht="64.5" customHeight="1" x14ac:dyDescent="0.25">
      <c r="A7" s="4" t="s">
        <v>567</v>
      </c>
      <c r="B7" s="5" t="s">
        <v>939</v>
      </c>
      <c r="C7" s="209">
        <v>1000</v>
      </c>
      <c r="D7" s="209">
        <v>500</v>
      </c>
      <c r="E7" s="209">
        <v>300</v>
      </c>
      <c r="F7" s="4" t="s">
        <v>567</v>
      </c>
      <c r="G7" s="5" t="s">
        <v>940</v>
      </c>
      <c r="H7" s="6">
        <f>600*1.1</f>
        <v>660</v>
      </c>
      <c r="I7" s="6">
        <f>400*1.1</f>
        <v>440.00000000000006</v>
      </c>
      <c r="J7" s="6">
        <f>200*1.1</f>
        <v>220.00000000000003</v>
      </c>
    </row>
    <row r="8" spans="1:10" ht="29.25" customHeight="1" x14ac:dyDescent="0.25">
      <c r="A8" s="4" t="s">
        <v>567</v>
      </c>
      <c r="B8" s="5" t="s">
        <v>940</v>
      </c>
      <c r="C8" s="209">
        <v>600</v>
      </c>
      <c r="D8" s="209">
        <v>400</v>
      </c>
      <c r="E8" s="209">
        <v>200</v>
      </c>
      <c r="F8" s="4" t="s">
        <v>567</v>
      </c>
      <c r="G8" s="5" t="s">
        <v>941</v>
      </c>
      <c r="H8" s="6">
        <f>250*1.1</f>
        <v>275</v>
      </c>
      <c r="I8" s="6">
        <f>130*1.1</f>
        <v>143</v>
      </c>
      <c r="J8" s="6">
        <f>90*1.1</f>
        <v>99.000000000000014</v>
      </c>
    </row>
    <row r="9" spans="1:10" x14ac:dyDescent="0.25">
      <c r="A9" s="4" t="s">
        <v>567</v>
      </c>
      <c r="B9" s="5" t="s">
        <v>941</v>
      </c>
      <c r="C9" s="209">
        <v>250</v>
      </c>
      <c r="D9" s="209">
        <v>130</v>
      </c>
      <c r="E9" s="209">
        <v>90</v>
      </c>
      <c r="F9" s="4" t="s">
        <v>567</v>
      </c>
      <c r="G9" s="5" t="s">
        <v>942</v>
      </c>
      <c r="H9" s="6">
        <f>100*1.1</f>
        <v>110.00000000000001</v>
      </c>
      <c r="I9" s="6">
        <f>80*1.1</f>
        <v>88</v>
      </c>
      <c r="J9" s="6">
        <f>60*1.1</f>
        <v>66</v>
      </c>
    </row>
    <row r="10" spans="1:10" x14ac:dyDescent="0.25">
      <c r="A10" s="4" t="s">
        <v>567</v>
      </c>
      <c r="B10" s="5" t="s">
        <v>942</v>
      </c>
      <c r="C10" s="209">
        <v>100</v>
      </c>
      <c r="D10" s="209">
        <v>80</v>
      </c>
      <c r="E10" s="209">
        <v>60</v>
      </c>
      <c r="F10" s="29">
        <v>2</v>
      </c>
      <c r="G10" s="2" t="s">
        <v>943</v>
      </c>
      <c r="H10" s="6"/>
      <c r="I10" s="6"/>
      <c r="J10" s="6"/>
    </row>
    <row r="11" spans="1:10" ht="82.5" x14ac:dyDescent="0.25">
      <c r="A11" s="29">
        <v>2</v>
      </c>
      <c r="B11" s="2" t="s">
        <v>943</v>
      </c>
      <c r="C11" s="209"/>
      <c r="D11" s="209"/>
      <c r="E11" s="209"/>
      <c r="F11" s="4" t="s">
        <v>567</v>
      </c>
      <c r="G11" s="5" t="s">
        <v>944</v>
      </c>
      <c r="H11" s="6">
        <f>250*1.1</f>
        <v>275</v>
      </c>
      <c r="I11" s="6">
        <f>130*1.1</f>
        <v>143</v>
      </c>
      <c r="J11" s="6">
        <f>90*1.1</f>
        <v>99.000000000000014</v>
      </c>
    </row>
    <row r="12" spans="1:10" ht="36" customHeight="1" x14ac:dyDescent="0.25">
      <c r="A12" s="4" t="s">
        <v>567</v>
      </c>
      <c r="B12" s="5" t="s">
        <v>944</v>
      </c>
      <c r="C12" s="209">
        <v>250</v>
      </c>
      <c r="D12" s="209">
        <v>130</v>
      </c>
      <c r="E12" s="209">
        <v>90</v>
      </c>
      <c r="F12" s="4" t="s">
        <v>567</v>
      </c>
      <c r="G12" s="7" t="s">
        <v>945</v>
      </c>
      <c r="H12" s="6">
        <f>100*1.1</f>
        <v>110.00000000000001</v>
      </c>
      <c r="I12" s="6">
        <f>80*1.1</f>
        <v>88</v>
      </c>
      <c r="J12" s="6">
        <f>60*1.1</f>
        <v>66</v>
      </c>
    </row>
    <row r="13" spans="1:10" x14ac:dyDescent="0.25">
      <c r="A13" s="4" t="s">
        <v>567</v>
      </c>
      <c r="B13" s="7" t="s">
        <v>945</v>
      </c>
      <c r="C13" s="209">
        <v>100</v>
      </c>
      <c r="D13" s="209">
        <v>80</v>
      </c>
      <c r="E13" s="209">
        <v>60</v>
      </c>
      <c r="F13" s="29">
        <v>3</v>
      </c>
      <c r="G13" s="2" t="s">
        <v>946</v>
      </c>
      <c r="H13" s="6"/>
      <c r="I13" s="6"/>
      <c r="J13" s="6"/>
    </row>
    <row r="14" spans="1:10" ht="66" customHeight="1" x14ac:dyDescent="0.25">
      <c r="A14" s="29">
        <v>3</v>
      </c>
      <c r="B14" s="2" t="s">
        <v>946</v>
      </c>
      <c r="C14" s="209"/>
      <c r="D14" s="209"/>
      <c r="E14" s="209"/>
      <c r="F14" s="4" t="s">
        <v>567</v>
      </c>
      <c r="G14" s="5" t="s">
        <v>947</v>
      </c>
      <c r="H14" s="6">
        <f>250*1.1</f>
        <v>275</v>
      </c>
      <c r="I14" s="6">
        <f>130*1.1</f>
        <v>143</v>
      </c>
      <c r="J14" s="6">
        <f>90*1.1</f>
        <v>99.000000000000014</v>
      </c>
    </row>
    <row r="15" spans="1:10" ht="30.75" customHeight="1" x14ac:dyDescent="0.25">
      <c r="A15" s="29"/>
      <c r="B15" s="5" t="s">
        <v>947</v>
      </c>
      <c r="C15" s="209">
        <v>250</v>
      </c>
      <c r="D15" s="209">
        <v>130</v>
      </c>
      <c r="E15" s="209">
        <v>90</v>
      </c>
      <c r="F15" s="4" t="s">
        <v>567</v>
      </c>
      <c r="G15" s="7" t="s">
        <v>945</v>
      </c>
      <c r="H15" s="6">
        <f>100*1.1</f>
        <v>110.00000000000001</v>
      </c>
      <c r="I15" s="6">
        <f>80*1.1</f>
        <v>88</v>
      </c>
      <c r="J15" s="6">
        <f>60*1.1</f>
        <v>66</v>
      </c>
    </row>
    <row r="16" spans="1:10" ht="27" customHeight="1" x14ac:dyDescent="0.25">
      <c r="A16" s="4" t="s">
        <v>567</v>
      </c>
      <c r="B16" s="7" t="s">
        <v>945</v>
      </c>
      <c r="C16" s="209">
        <v>100</v>
      </c>
      <c r="D16" s="209">
        <v>80</v>
      </c>
      <c r="E16" s="209">
        <v>60</v>
      </c>
      <c r="F16" s="29">
        <v>4</v>
      </c>
      <c r="G16" s="2" t="s">
        <v>948</v>
      </c>
      <c r="H16" s="6"/>
      <c r="I16" s="6"/>
      <c r="J16" s="6"/>
    </row>
    <row r="17" spans="1:10" ht="82.5" x14ac:dyDescent="0.25">
      <c r="A17" s="29">
        <v>4</v>
      </c>
      <c r="B17" s="2" t="s">
        <v>948</v>
      </c>
      <c r="C17" s="209"/>
      <c r="D17" s="209"/>
      <c r="E17" s="209"/>
      <c r="F17" s="4" t="s">
        <v>567</v>
      </c>
      <c r="G17" s="5" t="s">
        <v>949</v>
      </c>
      <c r="H17" s="6">
        <f>150*1.1</f>
        <v>165</v>
      </c>
      <c r="I17" s="6">
        <f>90*1.1</f>
        <v>99.000000000000014</v>
      </c>
      <c r="J17" s="6">
        <f>70*1.1</f>
        <v>77</v>
      </c>
    </row>
    <row r="18" spans="1:10" ht="28.5" customHeight="1" x14ac:dyDescent="0.25">
      <c r="A18" s="4" t="s">
        <v>567</v>
      </c>
      <c r="B18" s="5" t="s">
        <v>949</v>
      </c>
      <c r="C18" s="209">
        <v>150</v>
      </c>
      <c r="D18" s="209">
        <v>90</v>
      </c>
      <c r="E18" s="209">
        <v>70</v>
      </c>
      <c r="F18" s="4" t="s">
        <v>567</v>
      </c>
      <c r="G18" s="7" t="s">
        <v>945</v>
      </c>
      <c r="H18" s="6">
        <f>100*1.1</f>
        <v>110.00000000000001</v>
      </c>
      <c r="I18" s="6">
        <f>90*1.1</f>
        <v>99.000000000000014</v>
      </c>
      <c r="J18" s="6">
        <f>80*1.1</f>
        <v>88</v>
      </c>
    </row>
    <row r="19" spans="1:10" x14ac:dyDescent="0.25">
      <c r="A19" s="4" t="s">
        <v>567</v>
      </c>
      <c r="B19" s="7" t="s">
        <v>945</v>
      </c>
      <c r="C19" s="209">
        <v>100</v>
      </c>
      <c r="D19" s="209">
        <v>90</v>
      </c>
      <c r="E19" s="209">
        <v>80</v>
      </c>
      <c r="F19" s="29">
        <v>5</v>
      </c>
      <c r="G19" s="2" t="s">
        <v>950</v>
      </c>
      <c r="H19" s="6"/>
      <c r="I19" s="6"/>
      <c r="J19" s="6"/>
    </row>
    <row r="20" spans="1:10" x14ac:dyDescent="0.25">
      <c r="A20" s="29">
        <v>5</v>
      </c>
      <c r="B20" s="2" t="s">
        <v>950</v>
      </c>
      <c r="C20" s="209"/>
      <c r="D20" s="209"/>
      <c r="E20" s="209"/>
      <c r="F20" s="4" t="s">
        <v>567</v>
      </c>
      <c r="G20" s="5" t="s">
        <v>951</v>
      </c>
      <c r="H20" s="6">
        <f>150*1.1</f>
        <v>165</v>
      </c>
      <c r="I20" s="6">
        <f>90*1.1</f>
        <v>99.000000000000014</v>
      </c>
      <c r="J20" s="6">
        <f>70*1.1</f>
        <v>77</v>
      </c>
    </row>
    <row r="21" spans="1:10" x14ac:dyDescent="0.25">
      <c r="A21" s="4" t="s">
        <v>567</v>
      </c>
      <c r="B21" s="5" t="s">
        <v>951</v>
      </c>
      <c r="C21" s="209">
        <v>150</v>
      </c>
      <c r="D21" s="209">
        <v>90</v>
      </c>
      <c r="E21" s="209">
        <v>70</v>
      </c>
      <c r="F21" s="4" t="s">
        <v>567</v>
      </c>
      <c r="G21" s="7" t="s">
        <v>945</v>
      </c>
      <c r="H21" s="6">
        <f>100*1.1</f>
        <v>110.00000000000001</v>
      </c>
      <c r="I21" s="6">
        <f>80*1.1</f>
        <v>88</v>
      </c>
      <c r="J21" s="6">
        <f>60*1.1</f>
        <v>66</v>
      </c>
    </row>
    <row r="22" spans="1:10" x14ac:dyDescent="0.25">
      <c r="A22" s="4" t="s">
        <v>567</v>
      </c>
      <c r="B22" s="7" t="s">
        <v>945</v>
      </c>
      <c r="C22" s="209">
        <v>100</v>
      </c>
      <c r="D22" s="209">
        <v>80</v>
      </c>
      <c r="E22" s="209">
        <v>60</v>
      </c>
      <c r="F22" s="29">
        <v>6</v>
      </c>
      <c r="G22" s="2" t="s">
        <v>952</v>
      </c>
      <c r="H22" s="6"/>
      <c r="I22" s="6"/>
      <c r="J22" s="6"/>
    </row>
    <row r="23" spans="1:10" x14ac:dyDescent="0.25">
      <c r="A23" s="29">
        <v>7</v>
      </c>
      <c r="B23" s="2" t="s">
        <v>952</v>
      </c>
      <c r="C23" s="209"/>
      <c r="D23" s="209"/>
      <c r="E23" s="209"/>
      <c r="F23" s="4" t="s">
        <v>567</v>
      </c>
      <c r="G23" s="5" t="s">
        <v>953</v>
      </c>
      <c r="H23" s="6">
        <f>150*1.1</f>
        <v>165</v>
      </c>
      <c r="I23" s="6">
        <f>90*1.1</f>
        <v>99.000000000000014</v>
      </c>
      <c r="J23" s="6">
        <f>70*1.1</f>
        <v>77</v>
      </c>
    </row>
    <row r="24" spans="1:10" ht="54" customHeight="1" x14ac:dyDescent="0.25">
      <c r="A24" s="4" t="s">
        <v>567</v>
      </c>
      <c r="B24" s="5" t="s">
        <v>953</v>
      </c>
      <c r="C24" s="209">
        <v>150</v>
      </c>
      <c r="D24" s="209">
        <v>90</v>
      </c>
      <c r="E24" s="209">
        <v>70</v>
      </c>
      <c r="F24" s="4" t="s">
        <v>567</v>
      </c>
      <c r="G24" s="5" t="s">
        <v>954</v>
      </c>
      <c r="H24" s="6">
        <f>130*1.1</f>
        <v>143</v>
      </c>
      <c r="I24" s="6">
        <f>80*1.1</f>
        <v>88</v>
      </c>
      <c r="J24" s="6">
        <f>60*1.1</f>
        <v>66</v>
      </c>
    </row>
    <row r="25" spans="1:10" ht="26.25" customHeight="1" x14ac:dyDescent="0.25">
      <c r="A25" s="4" t="s">
        <v>567</v>
      </c>
      <c r="B25" s="5" t="s">
        <v>954</v>
      </c>
      <c r="C25" s="209">
        <v>130</v>
      </c>
      <c r="D25" s="209">
        <v>80</v>
      </c>
      <c r="E25" s="209">
        <v>60</v>
      </c>
      <c r="F25" s="4" t="s">
        <v>567</v>
      </c>
      <c r="G25" s="7" t="s">
        <v>945</v>
      </c>
      <c r="H25" s="6">
        <f>100*1.1</f>
        <v>110.00000000000001</v>
      </c>
      <c r="I25" s="6">
        <f>80*1.1</f>
        <v>88</v>
      </c>
      <c r="J25" s="6">
        <f>60*1.1</f>
        <v>66</v>
      </c>
    </row>
    <row r="26" spans="1:10" x14ac:dyDescent="0.25">
      <c r="A26" s="4" t="s">
        <v>567</v>
      </c>
      <c r="B26" s="7" t="s">
        <v>945</v>
      </c>
      <c r="C26" s="209">
        <v>100</v>
      </c>
      <c r="D26" s="209">
        <v>80</v>
      </c>
      <c r="E26" s="209">
        <v>60</v>
      </c>
      <c r="F26" s="29">
        <v>7</v>
      </c>
      <c r="G26" s="2" t="s">
        <v>955</v>
      </c>
      <c r="H26" s="6"/>
      <c r="I26" s="6"/>
      <c r="J26" s="6"/>
    </row>
    <row r="27" spans="1:10" ht="66" x14ac:dyDescent="0.25">
      <c r="A27" s="29">
        <v>8</v>
      </c>
      <c r="B27" s="2" t="s">
        <v>955</v>
      </c>
      <c r="C27" s="209"/>
      <c r="D27" s="209"/>
      <c r="E27" s="209"/>
      <c r="F27" s="4" t="s">
        <v>567</v>
      </c>
      <c r="G27" s="5" t="s">
        <v>956</v>
      </c>
      <c r="H27" s="6">
        <f>150*1.1</f>
        <v>165</v>
      </c>
      <c r="I27" s="6">
        <f>90*1.1</f>
        <v>99.000000000000014</v>
      </c>
      <c r="J27" s="6">
        <f>70*1.1</f>
        <v>77</v>
      </c>
    </row>
    <row r="28" spans="1:10" ht="30.75" customHeight="1" x14ac:dyDescent="0.25">
      <c r="A28" s="4" t="s">
        <v>567</v>
      </c>
      <c r="B28" s="5" t="s">
        <v>956</v>
      </c>
      <c r="C28" s="209">
        <v>150</v>
      </c>
      <c r="D28" s="209">
        <v>90</v>
      </c>
      <c r="E28" s="209">
        <v>70</v>
      </c>
      <c r="F28" s="4" t="s">
        <v>567</v>
      </c>
      <c r="G28" s="7" t="s">
        <v>945</v>
      </c>
      <c r="H28" s="6">
        <f>100*1.1</f>
        <v>110.00000000000001</v>
      </c>
      <c r="I28" s="6">
        <f>80*1.1</f>
        <v>88</v>
      </c>
      <c r="J28" s="6">
        <f>60*1.1</f>
        <v>66</v>
      </c>
    </row>
    <row r="29" spans="1:10" x14ac:dyDescent="0.25">
      <c r="A29" s="4" t="s">
        <v>567</v>
      </c>
      <c r="B29" s="7" t="s">
        <v>945</v>
      </c>
      <c r="C29" s="209">
        <v>100</v>
      </c>
      <c r="D29" s="209">
        <v>80</v>
      </c>
      <c r="E29" s="209">
        <v>60</v>
      </c>
      <c r="F29" s="29">
        <v>8</v>
      </c>
      <c r="G29" s="2" t="s">
        <v>957</v>
      </c>
      <c r="H29" s="6"/>
      <c r="I29" s="6"/>
      <c r="J29" s="6"/>
    </row>
    <row r="30" spans="1:10" x14ac:dyDescent="0.25">
      <c r="A30" s="29">
        <v>9</v>
      </c>
      <c r="B30" s="2" t="s">
        <v>957</v>
      </c>
      <c r="C30" s="209"/>
      <c r="D30" s="209"/>
      <c r="E30" s="209"/>
      <c r="F30" s="4" t="s">
        <v>567</v>
      </c>
      <c r="G30" s="8" t="s">
        <v>951</v>
      </c>
      <c r="H30" s="6">
        <f>120*1.1</f>
        <v>132</v>
      </c>
      <c r="I30" s="6">
        <f>90*1.1</f>
        <v>99.000000000000014</v>
      </c>
      <c r="J30" s="6">
        <f>80*1.1</f>
        <v>88</v>
      </c>
    </row>
    <row r="31" spans="1:10" x14ac:dyDescent="0.25">
      <c r="A31" s="29" t="s">
        <v>567</v>
      </c>
      <c r="B31" s="8" t="s">
        <v>951</v>
      </c>
      <c r="C31" s="209">
        <v>120</v>
      </c>
      <c r="D31" s="209">
        <v>90</v>
      </c>
      <c r="E31" s="209">
        <v>80</v>
      </c>
      <c r="F31" s="4" t="s">
        <v>567</v>
      </c>
      <c r="G31" s="7" t="s">
        <v>945</v>
      </c>
      <c r="H31" s="6">
        <f>100*1.1</f>
        <v>110.00000000000001</v>
      </c>
      <c r="I31" s="6">
        <f>80*1.1</f>
        <v>88</v>
      </c>
      <c r="J31" s="6">
        <f>60*1.1</f>
        <v>66</v>
      </c>
    </row>
    <row r="32" spans="1:10" x14ac:dyDescent="0.25">
      <c r="A32" s="29" t="s">
        <v>567</v>
      </c>
      <c r="B32" s="7" t="s">
        <v>945</v>
      </c>
      <c r="C32" s="209">
        <v>100</v>
      </c>
      <c r="D32" s="209">
        <v>80</v>
      </c>
      <c r="E32" s="209">
        <v>60</v>
      </c>
      <c r="F32" s="29">
        <v>9</v>
      </c>
      <c r="G32" s="2" t="s">
        <v>958</v>
      </c>
      <c r="H32" s="6"/>
      <c r="I32" s="6"/>
      <c r="J32" s="6"/>
    </row>
    <row r="33" spans="1:10" x14ac:dyDescent="0.25">
      <c r="A33" s="29">
        <v>10</v>
      </c>
      <c r="B33" s="2" t="s">
        <v>958</v>
      </c>
      <c r="C33" s="209"/>
      <c r="D33" s="209"/>
      <c r="E33" s="209"/>
      <c r="F33" s="4" t="s">
        <v>567</v>
      </c>
      <c r="G33" s="5" t="s">
        <v>959</v>
      </c>
      <c r="H33" s="6">
        <f>120*1.1</f>
        <v>132</v>
      </c>
      <c r="I33" s="6">
        <f>90*1.1</f>
        <v>99.000000000000014</v>
      </c>
      <c r="J33" s="6">
        <f>80*1.1</f>
        <v>88</v>
      </c>
    </row>
    <row r="34" spans="1:10" x14ac:dyDescent="0.25">
      <c r="A34" s="29" t="s">
        <v>567</v>
      </c>
      <c r="B34" s="5" t="s">
        <v>959</v>
      </c>
      <c r="C34" s="209">
        <v>120</v>
      </c>
      <c r="D34" s="209">
        <v>90</v>
      </c>
      <c r="E34" s="209">
        <v>80</v>
      </c>
      <c r="F34" s="4" t="s">
        <v>567</v>
      </c>
      <c r="G34" s="7" t="s">
        <v>945</v>
      </c>
      <c r="H34" s="6">
        <f>100*1.1</f>
        <v>110.00000000000001</v>
      </c>
      <c r="I34" s="6">
        <f>80*1.1</f>
        <v>88</v>
      </c>
      <c r="J34" s="6">
        <f>60*1.1</f>
        <v>66</v>
      </c>
    </row>
    <row r="35" spans="1:10" x14ac:dyDescent="0.25">
      <c r="A35" s="29" t="s">
        <v>567</v>
      </c>
      <c r="B35" s="7" t="s">
        <v>945</v>
      </c>
      <c r="C35" s="209">
        <v>100</v>
      </c>
      <c r="D35" s="209">
        <v>80</v>
      </c>
      <c r="E35" s="209">
        <v>60</v>
      </c>
      <c r="F35" s="29">
        <v>10</v>
      </c>
      <c r="G35" s="2" t="s">
        <v>960</v>
      </c>
      <c r="H35" s="6"/>
      <c r="I35" s="6"/>
      <c r="J35" s="6"/>
    </row>
    <row r="36" spans="1:10" x14ac:dyDescent="0.25">
      <c r="A36" s="29">
        <v>11</v>
      </c>
      <c r="B36" s="2" t="s">
        <v>960</v>
      </c>
      <c r="C36" s="209"/>
      <c r="D36" s="209"/>
      <c r="E36" s="209"/>
      <c r="F36" s="4" t="s">
        <v>567</v>
      </c>
      <c r="G36" s="5" t="s">
        <v>959</v>
      </c>
      <c r="H36" s="6">
        <f>120*1.1</f>
        <v>132</v>
      </c>
      <c r="I36" s="6">
        <f>90*1.1</f>
        <v>99.000000000000014</v>
      </c>
      <c r="J36" s="6">
        <f>80*1.1</f>
        <v>88</v>
      </c>
    </row>
    <row r="37" spans="1:10" x14ac:dyDescent="0.25">
      <c r="A37" s="4" t="s">
        <v>567</v>
      </c>
      <c r="B37" s="5" t="s">
        <v>959</v>
      </c>
      <c r="C37" s="209">
        <v>120</v>
      </c>
      <c r="D37" s="209">
        <v>90</v>
      </c>
      <c r="E37" s="209">
        <v>80</v>
      </c>
      <c r="F37" s="4" t="s">
        <v>567</v>
      </c>
      <c r="G37" s="9" t="s">
        <v>945</v>
      </c>
      <c r="H37" s="6">
        <f>100*1.1</f>
        <v>110.00000000000001</v>
      </c>
      <c r="I37" s="6">
        <f>80*1.1</f>
        <v>88</v>
      </c>
      <c r="J37" s="6">
        <f>60*1.1</f>
        <v>66</v>
      </c>
    </row>
    <row r="38" spans="1:10" x14ac:dyDescent="0.25">
      <c r="A38" s="210" t="s">
        <v>567</v>
      </c>
      <c r="B38" s="9" t="s">
        <v>945</v>
      </c>
      <c r="C38" s="211">
        <v>100</v>
      </c>
      <c r="D38" s="211">
        <v>80</v>
      </c>
      <c r="E38" s="211">
        <v>60</v>
      </c>
      <c r="F38" s="29">
        <v>11</v>
      </c>
      <c r="G38" s="2" t="s">
        <v>961</v>
      </c>
      <c r="H38" s="6"/>
      <c r="I38" s="6"/>
      <c r="J38" s="6"/>
    </row>
    <row r="39" spans="1:10" x14ac:dyDescent="0.25">
      <c r="A39" s="29">
        <v>12</v>
      </c>
      <c r="B39" s="2" t="s">
        <v>961</v>
      </c>
      <c r="C39" s="209"/>
      <c r="D39" s="209"/>
      <c r="E39" s="209"/>
      <c r="F39" s="4" t="s">
        <v>567</v>
      </c>
      <c r="G39" s="5" t="s">
        <v>959</v>
      </c>
      <c r="H39" s="6">
        <f>120*1.1</f>
        <v>132</v>
      </c>
      <c r="I39" s="6">
        <f>90*1.1</f>
        <v>99.000000000000014</v>
      </c>
      <c r="J39" s="6">
        <f>80*1.1</f>
        <v>88</v>
      </c>
    </row>
    <row r="40" spans="1:10" x14ac:dyDescent="0.25">
      <c r="A40" s="4" t="s">
        <v>567</v>
      </c>
      <c r="B40" s="5" t="s">
        <v>959</v>
      </c>
      <c r="C40" s="209">
        <v>120</v>
      </c>
      <c r="D40" s="209">
        <v>90</v>
      </c>
      <c r="E40" s="209">
        <v>80</v>
      </c>
      <c r="F40" s="4" t="s">
        <v>567</v>
      </c>
      <c r="G40" s="7" t="s">
        <v>945</v>
      </c>
      <c r="H40" s="6">
        <f>100*1.1</f>
        <v>110.00000000000001</v>
      </c>
      <c r="I40" s="6">
        <f>80*1.1</f>
        <v>88</v>
      </c>
      <c r="J40" s="6">
        <f>60*1.1</f>
        <v>66</v>
      </c>
    </row>
    <row r="41" spans="1:10" x14ac:dyDescent="0.25">
      <c r="A41" s="4" t="s">
        <v>567</v>
      </c>
      <c r="B41" s="7" t="s">
        <v>945</v>
      </c>
      <c r="C41" s="209">
        <v>100</v>
      </c>
      <c r="D41" s="209">
        <v>80</v>
      </c>
      <c r="E41" s="209">
        <v>60</v>
      </c>
      <c r="F41" s="10"/>
      <c r="H41" s="260"/>
      <c r="I41" s="260"/>
      <c r="J41" s="260"/>
    </row>
    <row r="42" spans="1:10" x14ac:dyDescent="0.25">
      <c r="A42" s="10"/>
      <c r="B42" s="10"/>
      <c r="C42" s="212"/>
      <c r="D42" s="10"/>
      <c r="E42" s="10"/>
      <c r="F42" s="10"/>
      <c r="H42" s="260"/>
      <c r="I42" s="260"/>
      <c r="J42" s="260"/>
    </row>
    <row r="43" spans="1:10" x14ac:dyDescent="0.25">
      <c r="A43" s="212"/>
      <c r="B43" s="10"/>
      <c r="C43" s="212"/>
      <c r="D43" s="10"/>
      <c r="E43" s="10"/>
      <c r="F43" s="10"/>
      <c r="H43" s="260"/>
      <c r="I43" s="260"/>
      <c r="J43" s="260"/>
    </row>
    <row r="44" spans="1:10" x14ac:dyDescent="0.25">
      <c r="A44" s="212"/>
      <c r="B44" s="10"/>
      <c r="C44" s="212"/>
      <c r="D44" s="10"/>
      <c r="E44" s="10"/>
      <c r="F44" s="10"/>
      <c r="H44" s="260"/>
      <c r="I44" s="260"/>
      <c r="J44" s="260"/>
    </row>
    <row r="45" spans="1:10" x14ac:dyDescent="0.25">
      <c r="A45" s="212"/>
      <c r="B45" s="10"/>
      <c r="C45" s="212"/>
      <c r="D45" s="10"/>
      <c r="E45" s="10"/>
    </row>
  </sheetData>
  <mergeCells count="10">
    <mergeCell ref="A6:E6"/>
    <mergeCell ref="A1:E1"/>
    <mergeCell ref="F1:J1"/>
    <mergeCell ref="A3:A4"/>
    <mergeCell ref="B3:B4"/>
    <mergeCell ref="C3:E3"/>
    <mergeCell ref="F3:F4"/>
    <mergeCell ref="G3:G4"/>
    <mergeCell ref="H3:J3"/>
    <mergeCell ref="G2:J2"/>
  </mergeCells>
  <pageMargins left="0.28740157500000002" right="0.19055118110236199" top="0.49055118110236201" bottom="0.19055118110236199" header="0.118110236220472" footer="0.118110236220472"/>
  <pageSetup paperSize="9" scale="80" firstPageNumber="52" orientation="portrait" useFirstPageNumber="1" r:id="rId1"/>
  <headerFooter>
    <oddHeader>&amp;C&amp;P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tabSelected="1" topLeftCell="G1" zoomScaleNormal="100" workbookViewId="0">
      <selection activeCell="O6" sqref="O6"/>
    </sheetView>
  </sheetViews>
  <sheetFormatPr defaultRowHeight="15" x14ac:dyDescent="0.25"/>
  <cols>
    <col min="1" max="1" width="7.28515625" style="45" hidden="1" customWidth="1"/>
    <col min="2" max="2" width="38.42578125" style="45" hidden="1" customWidth="1"/>
    <col min="3" max="5" width="9.140625" style="45" hidden="1" customWidth="1"/>
    <col min="6" max="6" width="1.42578125" style="45" hidden="1" customWidth="1"/>
    <col min="7" max="7" width="7.140625" style="45" customWidth="1"/>
    <col min="8" max="8" width="58.42578125" style="45" customWidth="1"/>
    <col min="9" max="9" width="12.140625" style="45" customWidth="1"/>
    <col min="10" max="10" width="12.42578125" style="45" customWidth="1"/>
    <col min="11" max="11" width="10.85546875" style="45" customWidth="1"/>
    <col min="12" max="12" width="54.28515625" style="45" hidden="1" customWidth="1"/>
    <col min="13" max="255" width="9.140625" style="45"/>
    <col min="256" max="256" width="7.5703125" style="45" customWidth="1"/>
    <col min="257" max="257" width="38.42578125" style="45" customWidth="1"/>
    <col min="258" max="261" width="9.140625" style="45"/>
    <col min="262" max="262" width="8.42578125" style="45" customWidth="1"/>
    <col min="263" max="263" width="40.140625" style="45" customWidth="1"/>
    <col min="264" max="265" width="9.140625" style="45"/>
    <col min="266" max="266" width="9.42578125" style="45" customWidth="1"/>
    <col min="267" max="267" width="10.140625" style="45" customWidth="1"/>
    <col min="268" max="268" width="20.85546875" style="45" customWidth="1"/>
    <col min="269" max="511" width="9.140625" style="45"/>
    <col min="512" max="512" width="7.5703125" style="45" customWidth="1"/>
    <col min="513" max="513" width="38.42578125" style="45" customWidth="1"/>
    <col min="514" max="517" width="9.140625" style="45"/>
    <col min="518" max="518" width="8.42578125" style="45" customWidth="1"/>
    <col min="519" max="519" width="40.140625" style="45" customWidth="1"/>
    <col min="520" max="521" width="9.140625" style="45"/>
    <col min="522" max="522" width="9.42578125" style="45" customWidth="1"/>
    <col min="523" max="523" width="10.140625" style="45" customWidth="1"/>
    <col min="524" max="524" width="20.85546875" style="45" customWidth="1"/>
    <col min="525" max="767" width="9.140625" style="45"/>
    <col min="768" max="768" width="7.5703125" style="45" customWidth="1"/>
    <col min="769" max="769" width="38.42578125" style="45" customWidth="1"/>
    <col min="770" max="773" width="9.140625" style="45"/>
    <col min="774" max="774" width="8.42578125" style="45" customWidth="1"/>
    <col min="775" max="775" width="40.140625" style="45" customWidth="1"/>
    <col min="776" max="777" width="9.140625" style="45"/>
    <col min="778" max="778" width="9.42578125" style="45" customWidth="1"/>
    <col min="779" max="779" width="10.140625" style="45" customWidth="1"/>
    <col min="780" max="780" width="20.85546875" style="45" customWidth="1"/>
    <col min="781" max="1023" width="9.140625" style="45"/>
    <col min="1024" max="1024" width="7.5703125" style="45" customWidth="1"/>
    <col min="1025" max="1025" width="38.42578125" style="45" customWidth="1"/>
    <col min="1026" max="1029" width="9.140625" style="45"/>
    <col min="1030" max="1030" width="8.42578125" style="45" customWidth="1"/>
    <col min="1031" max="1031" width="40.140625" style="45" customWidth="1"/>
    <col min="1032" max="1033" width="9.140625" style="45"/>
    <col min="1034" max="1034" width="9.42578125" style="45" customWidth="1"/>
    <col min="1035" max="1035" width="10.140625" style="45" customWidth="1"/>
    <col min="1036" max="1036" width="20.85546875" style="45" customWidth="1"/>
    <col min="1037" max="1279" width="9.140625" style="45"/>
    <col min="1280" max="1280" width="7.5703125" style="45" customWidth="1"/>
    <col min="1281" max="1281" width="38.42578125" style="45" customWidth="1"/>
    <col min="1282" max="1285" width="9.140625" style="45"/>
    <col min="1286" max="1286" width="8.42578125" style="45" customWidth="1"/>
    <col min="1287" max="1287" width="40.140625" style="45" customWidth="1"/>
    <col min="1288" max="1289" width="9.140625" style="45"/>
    <col min="1290" max="1290" width="9.42578125" style="45" customWidth="1"/>
    <col min="1291" max="1291" width="10.140625" style="45" customWidth="1"/>
    <col min="1292" max="1292" width="20.85546875" style="45" customWidth="1"/>
    <col min="1293" max="1535" width="9.140625" style="45"/>
    <col min="1536" max="1536" width="7.5703125" style="45" customWidth="1"/>
    <col min="1537" max="1537" width="38.42578125" style="45" customWidth="1"/>
    <col min="1538" max="1541" width="9.140625" style="45"/>
    <col min="1542" max="1542" width="8.42578125" style="45" customWidth="1"/>
    <col min="1543" max="1543" width="40.140625" style="45" customWidth="1"/>
    <col min="1544" max="1545" width="9.140625" style="45"/>
    <col min="1546" max="1546" width="9.42578125" style="45" customWidth="1"/>
    <col min="1547" max="1547" width="10.140625" style="45" customWidth="1"/>
    <col min="1548" max="1548" width="20.85546875" style="45" customWidth="1"/>
    <col min="1549" max="1791" width="9.140625" style="45"/>
    <col min="1792" max="1792" width="7.5703125" style="45" customWidth="1"/>
    <col min="1793" max="1793" width="38.42578125" style="45" customWidth="1"/>
    <col min="1794" max="1797" width="9.140625" style="45"/>
    <col min="1798" max="1798" width="8.42578125" style="45" customWidth="1"/>
    <col min="1799" max="1799" width="40.140625" style="45" customWidth="1"/>
    <col min="1800" max="1801" width="9.140625" style="45"/>
    <col min="1802" max="1802" width="9.42578125" style="45" customWidth="1"/>
    <col min="1803" max="1803" width="10.140625" style="45" customWidth="1"/>
    <col min="1804" max="1804" width="20.85546875" style="45" customWidth="1"/>
    <col min="1805" max="2047" width="9.140625" style="45"/>
    <col min="2048" max="2048" width="7.5703125" style="45" customWidth="1"/>
    <col min="2049" max="2049" width="38.42578125" style="45" customWidth="1"/>
    <col min="2050" max="2053" width="9.140625" style="45"/>
    <col min="2054" max="2054" width="8.42578125" style="45" customWidth="1"/>
    <col min="2055" max="2055" width="40.140625" style="45" customWidth="1"/>
    <col min="2056" max="2057" width="9.140625" style="45"/>
    <col min="2058" max="2058" width="9.42578125" style="45" customWidth="1"/>
    <col min="2059" max="2059" width="10.140625" style="45" customWidth="1"/>
    <col min="2060" max="2060" width="20.85546875" style="45" customWidth="1"/>
    <col min="2061" max="2303" width="9.140625" style="45"/>
    <col min="2304" max="2304" width="7.5703125" style="45" customWidth="1"/>
    <col min="2305" max="2305" width="38.42578125" style="45" customWidth="1"/>
    <col min="2306" max="2309" width="9.140625" style="45"/>
    <col min="2310" max="2310" width="8.42578125" style="45" customWidth="1"/>
    <col min="2311" max="2311" width="40.140625" style="45" customWidth="1"/>
    <col min="2312" max="2313" width="9.140625" style="45"/>
    <col min="2314" max="2314" width="9.42578125" style="45" customWidth="1"/>
    <col min="2315" max="2315" width="10.140625" style="45" customWidth="1"/>
    <col min="2316" max="2316" width="20.85546875" style="45" customWidth="1"/>
    <col min="2317" max="2559" width="9.140625" style="45"/>
    <col min="2560" max="2560" width="7.5703125" style="45" customWidth="1"/>
    <col min="2561" max="2561" width="38.42578125" style="45" customWidth="1"/>
    <col min="2562" max="2565" width="9.140625" style="45"/>
    <col min="2566" max="2566" width="8.42578125" style="45" customWidth="1"/>
    <col min="2567" max="2567" width="40.140625" style="45" customWidth="1"/>
    <col min="2568" max="2569" width="9.140625" style="45"/>
    <col min="2570" max="2570" width="9.42578125" style="45" customWidth="1"/>
    <col min="2571" max="2571" width="10.140625" style="45" customWidth="1"/>
    <col min="2572" max="2572" width="20.85546875" style="45" customWidth="1"/>
    <col min="2573" max="2815" width="9.140625" style="45"/>
    <col min="2816" max="2816" width="7.5703125" style="45" customWidth="1"/>
    <col min="2817" max="2817" width="38.42578125" style="45" customWidth="1"/>
    <col min="2818" max="2821" width="9.140625" style="45"/>
    <col min="2822" max="2822" width="8.42578125" style="45" customWidth="1"/>
    <col min="2823" max="2823" width="40.140625" style="45" customWidth="1"/>
    <col min="2824" max="2825" width="9.140625" style="45"/>
    <col min="2826" max="2826" width="9.42578125" style="45" customWidth="1"/>
    <col min="2827" max="2827" width="10.140625" style="45" customWidth="1"/>
    <col min="2828" max="2828" width="20.85546875" style="45" customWidth="1"/>
    <col min="2829" max="3071" width="9.140625" style="45"/>
    <col min="3072" max="3072" width="7.5703125" style="45" customWidth="1"/>
    <col min="3073" max="3073" width="38.42578125" style="45" customWidth="1"/>
    <col min="3074" max="3077" width="9.140625" style="45"/>
    <col min="3078" max="3078" width="8.42578125" style="45" customWidth="1"/>
    <col min="3079" max="3079" width="40.140625" style="45" customWidth="1"/>
    <col min="3080" max="3081" width="9.140625" style="45"/>
    <col min="3082" max="3082" width="9.42578125" style="45" customWidth="1"/>
    <col min="3083" max="3083" width="10.140625" style="45" customWidth="1"/>
    <col min="3084" max="3084" width="20.85546875" style="45" customWidth="1"/>
    <col min="3085" max="3327" width="9.140625" style="45"/>
    <col min="3328" max="3328" width="7.5703125" style="45" customWidth="1"/>
    <col min="3329" max="3329" width="38.42578125" style="45" customWidth="1"/>
    <col min="3330" max="3333" width="9.140625" style="45"/>
    <col min="3334" max="3334" width="8.42578125" style="45" customWidth="1"/>
    <col min="3335" max="3335" width="40.140625" style="45" customWidth="1"/>
    <col min="3336" max="3337" width="9.140625" style="45"/>
    <col min="3338" max="3338" width="9.42578125" style="45" customWidth="1"/>
    <col min="3339" max="3339" width="10.140625" style="45" customWidth="1"/>
    <col min="3340" max="3340" width="20.85546875" style="45" customWidth="1"/>
    <col min="3341" max="3583" width="9.140625" style="45"/>
    <col min="3584" max="3584" width="7.5703125" style="45" customWidth="1"/>
    <col min="3585" max="3585" width="38.42578125" style="45" customWidth="1"/>
    <col min="3586" max="3589" width="9.140625" style="45"/>
    <col min="3590" max="3590" width="8.42578125" style="45" customWidth="1"/>
    <col min="3591" max="3591" width="40.140625" style="45" customWidth="1"/>
    <col min="3592" max="3593" width="9.140625" style="45"/>
    <col min="3594" max="3594" width="9.42578125" style="45" customWidth="1"/>
    <col min="3595" max="3595" width="10.140625" style="45" customWidth="1"/>
    <col min="3596" max="3596" width="20.85546875" style="45" customWidth="1"/>
    <col min="3597" max="3839" width="9.140625" style="45"/>
    <col min="3840" max="3840" width="7.5703125" style="45" customWidth="1"/>
    <col min="3841" max="3841" width="38.42578125" style="45" customWidth="1"/>
    <col min="3842" max="3845" width="9.140625" style="45"/>
    <col min="3846" max="3846" width="8.42578125" style="45" customWidth="1"/>
    <col min="3847" max="3847" width="40.140625" style="45" customWidth="1"/>
    <col min="3848" max="3849" width="9.140625" style="45"/>
    <col min="3850" max="3850" width="9.42578125" style="45" customWidth="1"/>
    <col min="3851" max="3851" width="10.140625" style="45" customWidth="1"/>
    <col min="3852" max="3852" width="20.85546875" style="45" customWidth="1"/>
    <col min="3853" max="4095" width="9.140625" style="45"/>
    <col min="4096" max="4096" width="7.5703125" style="45" customWidth="1"/>
    <col min="4097" max="4097" width="38.42578125" style="45" customWidth="1"/>
    <col min="4098" max="4101" width="9.140625" style="45"/>
    <col min="4102" max="4102" width="8.42578125" style="45" customWidth="1"/>
    <col min="4103" max="4103" width="40.140625" style="45" customWidth="1"/>
    <col min="4104" max="4105" width="9.140625" style="45"/>
    <col min="4106" max="4106" width="9.42578125" style="45" customWidth="1"/>
    <col min="4107" max="4107" width="10.140625" style="45" customWidth="1"/>
    <col min="4108" max="4108" width="20.85546875" style="45" customWidth="1"/>
    <col min="4109" max="4351" width="9.140625" style="45"/>
    <col min="4352" max="4352" width="7.5703125" style="45" customWidth="1"/>
    <col min="4353" max="4353" width="38.42578125" style="45" customWidth="1"/>
    <col min="4354" max="4357" width="9.140625" style="45"/>
    <col min="4358" max="4358" width="8.42578125" style="45" customWidth="1"/>
    <col min="4359" max="4359" width="40.140625" style="45" customWidth="1"/>
    <col min="4360" max="4361" width="9.140625" style="45"/>
    <col min="4362" max="4362" width="9.42578125" style="45" customWidth="1"/>
    <col min="4363" max="4363" width="10.140625" style="45" customWidth="1"/>
    <col min="4364" max="4364" width="20.85546875" style="45" customWidth="1"/>
    <col min="4365" max="4607" width="9.140625" style="45"/>
    <col min="4608" max="4608" width="7.5703125" style="45" customWidth="1"/>
    <col min="4609" max="4609" width="38.42578125" style="45" customWidth="1"/>
    <col min="4610" max="4613" width="9.140625" style="45"/>
    <col min="4614" max="4614" width="8.42578125" style="45" customWidth="1"/>
    <col min="4615" max="4615" width="40.140625" style="45" customWidth="1"/>
    <col min="4616" max="4617" width="9.140625" style="45"/>
    <col min="4618" max="4618" width="9.42578125" style="45" customWidth="1"/>
    <col min="4619" max="4619" width="10.140625" style="45" customWidth="1"/>
    <col min="4620" max="4620" width="20.85546875" style="45" customWidth="1"/>
    <col min="4621" max="4863" width="9.140625" style="45"/>
    <col min="4864" max="4864" width="7.5703125" style="45" customWidth="1"/>
    <col min="4865" max="4865" width="38.42578125" style="45" customWidth="1"/>
    <col min="4866" max="4869" width="9.140625" style="45"/>
    <col min="4870" max="4870" width="8.42578125" style="45" customWidth="1"/>
    <col min="4871" max="4871" width="40.140625" style="45" customWidth="1"/>
    <col min="4872" max="4873" width="9.140625" style="45"/>
    <col min="4874" max="4874" width="9.42578125" style="45" customWidth="1"/>
    <col min="4875" max="4875" width="10.140625" style="45" customWidth="1"/>
    <col min="4876" max="4876" width="20.85546875" style="45" customWidth="1"/>
    <col min="4877" max="5119" width="9.140625" style="45"/>
    <col min="5120" max="5120" width="7.5703125" style="45" customWidth="1"/>
    <col min="5121" max="5121" width="38.42578125" style="45" customWidth="1"/>
    <col min="5122" max="5125" width="9.140625" style="45"/>
    <col min="5126" max="5126" width="8.42578125" style="45" customWidth="1"/>
    <col min="5127" max="5127" width="40.140625" style="45" customWidth="1"/>
    <col min="5128" max="5129" width="9.140625" style="45"/>
    <col min="5130" max="5130" width="9.42578125" style="45" customWidth="1"/>
    <col min="5131" max="5131" width="10.140625" style="45" customWidth="1"/>
    <col min="5132" max="5132" width="20.85546875" style="45" customWidth="1"/>
    <col min="5133" max="5375" width="9.140625" style="45"/>
    <col min="5376" max="5376" width="7.5703125" style="45" customWidth="1"/>
    <col min="5377" max="5377" width="38.42578125" style="45" customWidth="1"/>
    <col min="5378" max="5381" width="9.140625" style="45"/>
    <col min="5382" max="5382" width="8.42578125" style="45" customWidth="1"/>
    <col min="5383" max="5383" width="40.140625" style="45" customWidth="1"/>
    <col min="5384" max="5385" width="9.140625" style="45"/>
    <col min="5386" max="5386" width="9.42578125" style="45" customWidth="1"/>
    <col min="5387" max="5387" width="10.140625" style="45" customWidth="1"/>
    <col min="5388" max="5388" width="20.85546875" style="45" customWidth="1"/>
    <col min="5389" max="5631" width="9.140625" style="45"/>
    <col min="5632" max="5632" width="7.5703125" style="45" customWidth="1"/>
    <col min="5633" max="5633" width="38.42578125" style="45" customWidth="1"/>
    <col min="5634" max="5637" width="9.140625" style="45"/>
    <col min="5638" max="5638" width="8.42578125" style="45" customWidth="1"/>
    <col min="5639" max="5639" width="40.140625" style="45" customWidth="1"/>
    <col min="5640" max="5641" width="9.140625" style="45"/>
    <col min="5642" max="5642" width="9.42578125" style="45" customWidth="1"/>
    <col min="5643" max="5643" width="10.140625" style="45" customWidth="1"/>
    <col min="5644" max="5644" width="20.85546875" style="45" customWidth="1"/>
    <col min="5645" max="5887" width="9.140625" style="45"/>
    <col min="5888" max="5888" width="7.5703125" style="45" customWidth="1"/>
    <col min="5889" max="5889" width="38.42578125" style="45" customWidth="1"/>
    <col min="5890" max="5893" width="9.140625" style="45"/>
    <col min="5894" max="5894" width="8.42578125" style="45" customWidth="1"/>
    <col min="5895" max="5895" width="40.140625" style="45" customWidth="1"/>
    <col min="5896" max="5897" width="9.140625" style="45"/>
    <col min="5898" max="5898" width="9.42578125" style="45" customWidth="1"/>
    <col min="5899" max="5899" width="10.140625" style="45" customWidth="1"/>
    <col min="5900" max="5900" width="20.85546875" style="45" customWidth="1"/>
    <col min="5901" max="6143" width="9.140625" style="45"/>
    <col min="6144" max="6144" width="7.5703125" style="45" customWidth="1"/>
    <col min="6145" max="6145" width="38.42578125" style="45" customWidth="1"/>
    <col min="6146" max="6149" width="9.140625" style="45"/>
    <col min="6150" max="6150" width="8.42578125" style="45" customWidth="1"/>
    <col min="6151" max="6151" width="40.140625" style="45" customWidth="1"/>
    <col min="6152" max="6153" width="9.140625" style="45"/>
    <col min="6154" max="6154" width="9.42578125" style="45" customWidth="1"/>
    <col min="6155" max="6155" width="10.140625" style="45" customWidth="1"/>
    <col min="6156" max="6156" width="20.85546875" style="45" customWidth="1"/>
    <col min="6157" max="6399" width="9.140625" style="45"/>
    <col min="6400" max="6400" width="7.5703125" style="45" customWidth="1"/>
    <col min="6401" max="6401" width="38.42578125" style="45" customWidth="1"/>
    <col min="6402" max="6405" width="9.140625" style="45"/>
    <col min="6406" max="6406" width="8.42578125" style="45" customWidth="1"/>
    <col min="6407" max="6407" width="40.140625" style="45" customWidth="1"/>
    <col min="6408" max="6409" width="9.140625" style="45"/>
    <col min="6410" max="6410" width="9.42578125" style="45" customWidth="1"/>
    <col min="6411" max="6411" width="10.140625" style="45" customWidth="1"/>
    <col min="6412" max="6412" width="20.85546875" style="45" customWidth="1"/>
    <col min="6413" max="6655" width="9.140625" style="45"/>
    <col min="6656" max="6656" width="7.5703125" style="45" customWidth="1"/>
    <col min="6657" max="6657" width="38.42578125" style="45" customWidth="1"/>
    <col min="6658" max="6661" width="9.140625" style="45"/>
    <col min="6662" max="6662" width="8.42578125" style="45" customWidth="1"/>
    <col min="6663" max="6663" width="40.140625" style="45" customWidth="1"/>
    <col min="6664" max="6665" width="9.140625" style="45"/>
    <col min="6666" max="6666" width="9.42578125" style="45" customWidth="1"/>
    <col min="6667" max="6667" width="10.140625" style="45" customWidth="1"/>
    <col min="6668" max="6668" width="20.85546875" style="45" customWidth="1"/>
    <col min="6669" max="6911" width="9.140625" style="45"/>
    <col min="6912" max="6912" width="7.5703125" style="45" customWidth="1"/>
    <col min="6913" max="6913" width="38.42578125" style="45" customWidth="1"/>
    <col min="6914" max="6917" width="9.140625" style="45"/>
    <col min="6918" max="6918" width="8.42578125" style="45" customWidth="1"/>
    <col min="6919" max="6919" width="40.140625" style="45" customWidth="1"/>
    <col min="6920" max="6921" width="9.140625" style="45"/>
    <col min="6922" max="6922" width="9.42578125" style="45" customWidth="1"/>
    <col min="6923" max="6923" width="10.140625" style="45" customWidth="1"/>
    <col min="6924" max="6924" width="20.85546875" style="45" customWidth="1"/>
    <col min="6925" max="7167" width="9.140625" style="45"/>
    <col min="7168" max="7168" width="7.5703125" style="45" customWidth="1"/>
    <col min="7169" max="7169" width="38.42578125" style="45" customWidth="1"/>
    <col min="7170" max="7173" width="9.140625" style="45"/>
    <col min="7174" max="7174" width="8.42578125" style="45" customWidth="1"/>
    <col min="7175" max="7175" width="40.140625" style="45" customWidth="1"/>
    <col min="7176" max="7177" width="9.140625" style="45"/>
    <col min="7178" max="7178" width="9.42578125" style="45" customWidth="1"/>
    <col min="7179" max="7179" width="10.140625" style="45" customWidth="1"/>
    <col min="7180" max="7180" width="20.85546875" style="45" customWidth="1"/>
    <col min="7181" max="7423" width="9.140625" style="45"/>
    <col min="7424" max="7424" width="7.5703125" style="45" customWidth="1"/>
    <col min="7425" max="7425" width="38.42578125" style="45" customWidth="1"/>
    <col min="7426" max="7429" width="9.140625" style="45"/>
    <col min="7430" max="7430" width="8.42578125" style="45" customWidth="1"/>
    <col min="7431" max="7431" width="40.140625" style="45" customWidth="1"/>
    <col min="7432" max="7433" width="9.140625" style="45"/>
    <col min="7434" max="7434" width="9.42578125" style="45" customWidth="1"/>
    <col min="7435" max="7435" width="10.140625" style="45" customWidth="1"/>
    <col min="7436" max="7436" width="20.85546875" style="45" customWidth="1"/>
    <col min="7437" max="7679" width="9.140625" style="45"/>
    <col min="7680" max="7680" width="7.5703125" style="45" customWidth="1"/>
    <col min="7681" max="7681" width="38.42578125" style="45" customWidth="1"/>
    <col min="7682" max="7685" width="9.140625" style="45"/>
    <col min="7686" max="7686" width="8.42578125" style="45" customWidth="1"/>
    <col min="7687" max="7687" width="40.140625" style="45" customWidth="1"/>
    <col min="7688" max="7689" width="9.140625" style="45"/>
    <col min="7690" max="7690" width="9.42578125" style="45" customWidth="1"/>
    <col min="7691" max="7691" width="10.140625" style="45" customWidth="1"/>
    <col min="7692" max="7692" width="20.85546875" style="45" customWidth="1"/>
    <col min="7693" max="7935" width="9.140625" style="45"/>
    <col min="7936" max="7936" width="7.5703125" style="45" customWidth="1"/>
    <col min="7937" max="7937" width="38.42578125" style="45" customWidth="1"/>
    <col min="7938" max="7941" width="9.140625" style="45"/>
    <col min="7942" max="7942" width="8.42578125" style="45" customWidth="1"/>
    <col min="7943" max="7943" width="40.140625" style="45" customWidth="1"/>
    <col min="7944" max="7945" width="9.140625" style="45"/>
    <col min="7946" max="7946" width="9.42578125" style="45" customWidth="1"/>
    <col min="7947" max="7947" width="10.140625" style="45" customWidth="1"/>
    <col min="7948" max="7948" width="20.85546875" style="45" customWidth="1"/>
    <col min="7949" max="8191" width="9.140625" style="45"/>
    <col min="8192" max="8192" width="7.5703125" style="45" customWidth="1"/>
    <col min="8193" max="8193" width="38.42578125" style="45" customWidth="1"/>
    <col min="8194" max="8197" width="9.140625" style="45"/>
    <col min="8198" max="8198" width="8.42578125" style="45" customWidth="1"/>
    <col min="8199" max="8199" width="40.140625" style="45" customWidth="1"/>
    <col min="8200" max="8201" width="9.140625" style="45"/>
    <col min="8202" max="8202" width="9.42578125" style="45" customWidth="1"/>
    <col min="8203" max="8203" width="10.140625" style="45" customWidth="1"/>
    <col min="8204" max="8204" width="20.85546875" style="45" customWidth="1"/>
    <col min="8205" max="8447" width="9.140625" style="45"/>
    <col min="8448" max="8448" width="7.5703125" style="45" customWidth="1"/>
    <col min="8449" max="8449" width="38.42578125" style="45" customWidth="1"/>
    <col min="8450" max="8453" width="9.140625" style="45"/>
    <col min="8454" max="8454" width="8.42578125" style="45" customWidth="1"/>
    <col min="8455" max="8455" width="40.140625" style="45" customWidth="1"/>
    <col min="8456" max="8457" width="9.140625" style="45"/>
    <col min="8458" max="8458" width="9.42578125" style="45" customWidth="1"/>
    <col min="8459" max="8459" width="10.140625" style="45" customWidth="1"/>
    <col min="8460" max="8460" width="20.85546875" style="45" customWidth="1"/>
    <col min="8461" max="8703" width="9.140625" style="45"/>
    <col min="8704" max="8704" width="7.5703125" style="45" customWidth="1"/>
    <col min="8705" max="8705" width="38.42578125" style="45" customWidth="1"/>
    <col min="8706" max="8709" width="9.140625" style="45"/>
    <col min="8710" max="8710" width="8.42578125" style="45" customWidth="1"/>
    <col min="8711" max="8711" width="40.140625" style="45" customWidth="1"/>
    <col min="8712" max="8713" width="9.140625" style="45"/>
    <col min="8714" max="8714" width="9.42578125" style="45" customWidth="1"/>
    <col min="8715" max="8715" width="10.140625" style="45" customWidth="1"/>
    <col min="8716" max="8716" width="20.85546875" style="45" customWidth="1"/>
    <col min="8717" max="8959" width="9.140625" style="45"/>
    <col min="8960" max="8960" width="7.5703125" style="45" customWidth="1"/>
    <col min="8961" max="8961" width="38.42578125" style="45" customWidth="1"/>
    <col min="8962" max="8965" width="9.140625" style="45"/>
    <col min="8966" max="8966" width="8.42578125" style="45" customWidth="1"/>
    <col min="8967" max="8967" width="40.140625" style="45" customWidth="1"/>
    <col min="8968" max="8969" width="9.140625" style="45"/>
    <col min="8970" max="8970" width="9.42578125" style="45" customWidth="1"/>
    <col min="8971" max="8971" width="10.140625" style="45" customWidth="1"/>
    <col min="8972" max="8972" width="20.85546875" style="45" customWidth="1"/>
    <col min="8973" max="9215" width="9.140625" style="45"/>
    <col min="9216" max="9216" width="7.5703125" style="45" customWidth="1"/>
    <col min="9217" max="9217" width="38.42578125" style="45" customWidth="1"/>
    <col min="9218" max="9221" width="9.140625" style="45"/>
    <col min="9222" max="9222" width="8.42578125" style="45" customWidth="1"/>
    <col min="9223" max="9223" width="40.140625" style="45" customWidth="1"/>
    <col min="9224" max="9225" width="9.140625" style="45"/>
    <col min="9226" max="9226" width="9.42578125" style="45" customWidth="1"/>
    <col min="9227" max="9227" width="10.140625" style="45" customWidth="1"/>
    <col min="9228" max="9228" width="20.85546875" style="45" customWidth="1"/>
    <col min="9229" max="9471" width="9.140625" style="45"/>
    <col min="9472" max="9472" width="7.5703125" style="45" customWidth="1"/>
    <col min="9473" max="9473" width="38.42578125" style="45" customWidth="1"/>
    <col min="9474" max="9477" width="9.140625" style="45"/>
    <col min="9478" max="9478" width="8.42578125" style="45" customWidth="1"/>
    <col min="9479" max="9479" width="40.140625" style="45" customWidth="1"/>
    <col min="9480" max="9481" width="9.140625" style="45"/>
    <col min="9482" max="9482" width="9.42578125" style="45" customWidth="1"/>
    <col min="9483" max="9483" width="10.140625" style="45" customWidth="1"/>
    <col min="9484" max="9484" width="20.85546875" style="45" customWidth="1"/>
    <col min="9485" max="9727" width="9.140625" style="45"/>
    <col min="9728" max="9728" width="7.5703125" style="45" customWidth="1"/>
    <col min="9729" max="9729" width="38.42578125" style="45" customWidth="1"/>
    <col min="9730" max="9733" width="9.140625" style="45"/>
    <col min="9734" max="9734" width="8.42578125" style="45" customWidth="1"/>
    <col min="9735" max="9735" width="40.140625" style="45" customWidth="1"/>
    <col min="9736" max="9737" width="9.140625" style="45"/>
    <col min="9738" max="9738" width="9.42578125" style="45" customWidth="1"/>
    <col min="9739" max="9739" width="10.140625" style="45" customWidth="1"/>
    <col min="9740" max="9740" width="20.85546875" style="45" customWidth="1"/>
    <col min="9741" max="9983" width="9.140625" style="45"/>
    <col min="9984" max="9984" width="7.5703125" style="45" customWidth="1"/>
    <col min="9985" max="9985" width="38.42578125" style="45" customWidth="1"/>
    <col min="9986" max="9989" width="9.140625" style="45"/>
    <col min="9990" max="9990" width="8.42578125" style="45" customWidth="1"/>
    <col min="9991" max="9991" width="40.140625" style="45" customWidth="1"/>
    <col min="9992" max="9993" width="9.140625" style="45"/>
    <col min="9994" max="9994" width="9.42578125" style="45" customWidth="1"/>
    <col min="9995" max="9995" width="10.140625" style="45" customWidth="1"/>
    <col min="9996" max="9996" width="20.85546875" style="45" customWidth="1"/>
    <col min="9997" max="10239" width="9.140625" style="45"/>
    <col min="10240" max="10240" width="7.5703125" style="45" customWidth="1"/>
    <col min="10241" max="10241" width="38.42578125" style="45" customWidth="1"/>
    <col min="10242" max="10245" width="9.140625" style="45"/>
    <col min="10246" max="10246" width="8.42578125" style="45" customWidth="1"/>
    <col min="10247" max="10247" width="40.140625" style="45" customWidth="1"/>
    <col min="10248" max="10249" width="9.140625" style="45"/>
    <col min="10250" max="10250" width="9.42578125" style="45" customWidth="1"/>
    <col min="10251" max="10251" width="10.140625" style="45" customWidth="1"/>
    <col min="10252" max="10252" width="20.85546875" style="45" customWidth="1"/>
    <col min="10253" max="10495" width="9.140625" style="45"/>
    <col min="10496" max="10496" width="7.5703125" style="45" customWidth="1"/>
    <col min="10497" max="10497" width="38.42578125" style="45" customWidth="1"/>
    <col min="10498" max="10501" width="9.140625" style="45"/>
    <col min="10502" max="10502" width="8.42578125" style="45" customWidth="1"/>
    <col min="10503" max="10503" width="40.140625" style="45" customWidth="1"/>
    <col min="10504" max="10505" width="9.140625" style="45"/>
    <col min="10506" max="10506" width="9.42578125" style="45" customWidth="1"/>
    <col min="10507" max="10507" width="10.140625" style="45" customWidth="1"/>
    <col min="10508" max="10508" width="20.85546875" style="45" customWidth="1"/>
    <col min="10509" max="10751" width="9.140625" style="45"/>
    <col min="10752" max="10752" width="7.5703125" style="45" customWidth="1"/>
    <col min="10753" max="10753" width="38.42578125" style="45" customWidth="1"/>
    <col min="10754" max="10757" width="9.140625" style="45"/>
    <col min="10758" max="10758" width="8.42578125" style="45" customWidth="1"/>
    <col min="10759" max="10759" width="40.140625" style="45" customWidth="1"/>
    <col min="10760" max="10761" width="9.140625" style="45"/>
    <col min="10762" max="10762" width="9.42578125" style="45" customWidth="1"/>
    <col min="10763" max="10763" width="10.140625" style="45" customWidth="1"/>
    <col min="10764" max="10764" width="20.85546875" style="45" customWidth="1"/>
    <col min="10765" max="11007" width="9.140625" style="45"/>
    <col min="11008" max="11008" width="7.5703125" style="45" customWidth="1"/>
    <col min="11009" max="11009" width="38.42578125" style="45" customWidth="1"/>
    <col min="11010" max="11013" width="9.140625" style="45"/>
    <col min="11014" max="11014" width="8.42578125" style="45" customWidth="1"/>
    <col min="11015" max="11015" width="40.140625" style="45" customWidth="1"/>
    <col min="11016" max="11017" width="9.140625" style="45"/>
    <col min="11018" max="11018" width="9.42578125" style="45" customWidth="1"/>
    <col min="11019" max="11019" width="10.140625" style="45" customWidth="1"/>
    <col min="11020" max="11020" width="20.85546875" style="45" customWidth="1"/>
    <col min="11021" max="11263" width="9.140625" style="45"/>
    <col min="11264" max="11264" width="7.5703125" style="45" customWidth="1"/>
    <col min="11265" max="11265" width="38.42578125" style="45" customWidth="1"/>
    <col min="11266" max="11269" width="9.140625" style="45"/>
    <col min="11270" max="11270" width="8.42578125" style="45" customWidth="1"/>
    <col min="11271" max="11271" width="40.140625" style="45" customWidth="1"/>
    <col min="11272" max="11273" width="9.140625" style="45"/>
    <col min="11274" max="11274" width="9.42578125" style="45" customWidth="1"/>
    <col min="11275" max="11275" width="10.140625" style="45" customWidth="1"/>
    <col min="11276" max="11276" width="20.85546875" style="45" customWidth="1"/>
    <col min="11277" max="11519" width="9.140625" style="45"/>
    <col min="11520" max="11520" width="7.5703125" style="45" customWidth="1"/>
    <col min="11521" max="11521" width="38.42578125" style="45" customWidth="1"/>
    <col min="11522" max="11525" width="9.140625" style="45"/>
    <col min="11526" max="11526" width="8.42578125" style="45" customWidth="1"/>
    <col min="11527" max="11527" width="40.140625" style="45" customWidth="1"/>
    <col min="11528" max="11529" width="9.140625" style="45"/>
    <col min="11530" max="11530" width="9.42578125" style="45" customWidth="1"/>
    <col min="11531" max="11531" width="10.140625" style="45" customWidth="1"/>
    <col min="11532" max="11532" width="20.85546875" style="45" customWidth="1"/>
    <col min="11533" max="11775" width="9.140625" style="45"/>
    <col min="11776" max="11776" width="7.5703125" style="45" customWidth="1"/>
    <col min="11777" max="11777" width="38.42578125" style="45" customWidth="1"/>
    <col min="11778" max="11781" width="9.140625" style="45"/>
    <col min="11782" max="11782" width="8.42578125" style="45" customWidth="1"/>
    <col min="11783" max="11783" width="40.140625" style="45" customWidth="1"/>
    <col min="11784" max="11785" width="9.140625" style="45"/>
    <col min="11786" max="11786" width="9.42578125" style="45" customWidth="1"/>
    <col min="11787" max="11787" width="10.140625" style="45" customWidth="1"/>
    <col min="11788" max="11788" width="20.85546875" style="45" customWidth="1"/>
    <col min="11789" max="12031" width="9.140625" style="45"/>
    <col min="12032" max="12032" width="7.5703125" style="45" customWidth="1"/>
    <col min="12033" max="12033" width="38.42578125" style="45" customWidth="1"/>
    <col min="12034" max="12037" width="9.140625" style="45"/>
    <col min="12038" max="12038" width="8.42578125" style="45" customWidth="1"/>
    <col min="12039" max="12039" width="40.140625" style="45" customWidth="1"/>
    <col min="12040" max="12041" width="9.140625" style="45"/>
    <col min="12042" max="12042" width="9.42578125" style="45" customWidth="1"/>
    <col min="12043" max="12043" width="10.140625" style="45" customWidth="1"/>
    <col min="12044" max="12044" width="20.85546875" style="45" customWidth="1"/>
    <col min="12045" max="12287" width="9.140625" style="45"/>
    <col min="12288" max="12288" width="7.5703125" style="45" customWidth="1"/>
    <col min="12289" max="12289" width="38.42578125" style="45" customWidth="1"/>
    <col min="12290" max="12293" width="9.140625" style="45"/>
    <col min="12294" max="12294" width="8.42578125" style="45" customWidth="1"/>
    <col min="12295" max="12295" width="40.140625" style="45" customWidth="1"/>
    <col min="12296" max="12297" width="9.140625" style="45"/>
    <col min="12298" max="12298" width="9.42578125" style="45" customWidth="1"/>
    <col min="12299" max="12299" width="10.140625" style="45" customWidth="1"/>
    <col min="12300" max="12300" width="20.85546875" style="45" customWidth="1"/>
    <col min="12301" max="12543" width="9.140625" style="45"/>
    <col min="12544" max="12544" width="7.5703125" style="45" customWidth="1"/>
    <col min="12545" max="12545" width="38.42578125" style="45" customWidth="1"/>
    <col min="12546" max="12549" width="9.140625" style="45"/>
    <col min="12550" max="12550" width="8.42578125" style="45" customWidth="1"/>
    <col min="12551" max="12551" width="40.140625" style="45" customWidth="1"/>
    <col min="12552" max="12553" width="9.140625" style="45"/>
    <col min="12554" max="12554" width="9.42578125" style="45" customWidth="1"/>
    <col min="12555" max="12555" width="10.140625" style="45" customWidth="1"/>
    <col min="12556" max="12556" width="20.85546875" style="45" customWidth="1"/>
    <col min="12557" max="12799" width="9.140625" style="45"/>
    <col min="12800" max="12800" width="7.5703125" style="45" customWidth="1"/>
    <col min="12801" max="12801" width="38.42578125" style="45" customWidth="1"/>
    <col min="12802" max="12805" width="9.140625" style="45"/>
    <col min="12806" max="12806" width="8.42578125" style="45" customWidth="1"/>
    <col min="12807" max="12807" width="40.140625" style="45" customWidth="1"/>
    <col min="12808" max="12809" width="9.140625" style="45"/>
    <col min="12810" max="12810" width="9.42578125" style="45" customWidth="1"/>
    <col min="12811" max="12811" width="10.140625" style="45" customWidth="1"/>
    <col min="12812" max="12812" width="20.85546875" style="45" customWidth="1"/>
    <col min="12813" max="13055" width="9.140625" style="45"/>
    <col min="13056" max="13056" width="7.5703125" style="45" customWidth="1"/>
    <col min="13057" max="13057" width="38.42578125" style="45" customWidth="1"/>
    <col min="13058" max="13061" width="9.140625" style="45"/>
    <col min="13062" max="13062" width="8.42578125" style="45" customWidth="1"/>
    <col min="13063" max="13063" width="40.140625" style="45" customWidth="1"/>
    <col min="13064" max="13065" width="9.140625" style="45"/>
    <col min="13066" max="13066" width="9.42578125" style="45" customWidth="1"/>
    <col min="13067" max="13067" width="10.140625" style="45" customWidth="1"/>
    <col min="13068" max="13068" width="20.85546875" style="45" customWidth="1"/>
    <col min="13069" max="13311" width="9.140625" style="45"/>
    <col min="13312" max="13312" width="7.5703125" style="45" customWidth="1"/>
    <col min="13313" max="13313" width="38.42578125" style="45" customWidth="1"/>
    <col min="13314" max="13317" width="9.140625" style="45"/>
    <col min="13318" max="13318" width="8.42578125" style="45" customWidth="1"/>
    <col min="13319" max="13319" width="40.140625" style="45" customWidth="1"/>
    <col min="13320" max="13321" width="9.140625" style="45"/>
    <col min="13322" max="13322" width="9.42578125" style="45" customWidth="1"/>
    <col min="13323" max="13323" width="10.140625" style="45" customWidth="1"/>
    <col min="13324" max="13324" width="20.85546875" style="45" customWidth="1"/>
    <col min="13325" max="13567" width="9.140625" style="45"/>
    <col min="13568" max="13568" width="7.5703125" style="45" customWidth="1"/>
    <col min="13569" max="13569" width="38.42578125" style="45" customWidth="1"/>
    <col min="13570" max="13573" width="9.140625" style="45"/>
    <col min="13574" max="13574" width="8.42578125" style="45" customWidth="1"/>
    <col min="13575" max="13575" width="40.140625" style="45" customWidth="1"/>
    <col min="13576" max="13577" width="9.140625" style="45"/>
    <col min="13578" max="13578" width="9.42578125" style="45" customWidth="1"/>
    <col min="13579" max="13579" width="10.140625" style="45" customWidth="1"/>
    <col min="13580" max="13580" width="20.85546875" style="45" customWidth="1"/>
    <col min="13581" max="13823" width="9.140625" style="45"/>
    <col min="13824" max="13824" width="7.5703125" style="45" customWidth="1"/>
    <col min="13825" max="13825" width="38.42578125" style="45" customWidth="1"/>
    <col min="13826" max="13829" width="9.140625" style="45"/>
    <col min="13830" max="13830" width="8.42578125" style="45" customWidth="1"/>
    <col min="13831" max="13831" width="40.140625" style="45" customWidth="1"/>
    <col min="13832" max="13833" width="9.140625" style="45"/>
    <col min="13834" max="13834" width="9.42578125" style="45" customWidth="1"/>
    <col min="13835" max="13835" width="10.140625" style="45" customWidth="1"/>
    <col min="13836" max="13836" width="20.85546875" style="45" customWidth="1"/>
    <col min="13837" max="14079" width="9.140625" style="45"/>
    <col min="14080" max="14080" width="7.5703125" style="45" customWidth="1"/>
    <col min="14081" max="14081" width="38.42578125" style="45" customWidth="1"/>
    <col min="14082" max="14085" width="9.140625" style="45"/>
    <col min="14086" max="14086" width="8.42578125" style="45" customWidth="1"/>
    <col min="14087" max="14087" width="40.140625" style="45" customWidth="1"/>
    <col min="14088" max="14089" width="9.140625" style="45"/>
    <col min="14090" max="14090" width="9.42578125" style="45" customWidth="1"/>
    <col min="14091" max="14091" width="10.140625" style="45" customWidth="1"/>
    <col min="14092" max="14092" width="20.85546875" style="45" customWidth="1"/>
    <col min="14093" max="14335" width="9.140625" style="45"/>
    <col min="14336" max="14336" width="7.5703125" style="45" customWidth="1"/>
    <col min="14337" max="14337" width="38.42578125" style="45" customWidth="1"/>
    <col min="14338" max="14341" width="9.140625" style="45"/>
    <col min="14342" max="14342" width="8.42578125" style="45" customWidth="1"/>
    <col min="14343" max="14343" width="40.140625" style="45" customWidth="1"/>
    <col min="14344" max="14345" width="9.140625" style="45"/>
    <col min="14346" max="14346" width="9.42578125" style="45" customWidth="1"/>
    <col min="14347" max="14347" width="10.140625" style="45" customWidth="1"/>
    <col min="14348" max="14348" width="20.85546875" style="45" customWidth="1"/>
    <col min="14349" max="14591" width="9.140625" style="45"/>
    <col min="14592" max="14592" width="7.5703125" style="45" customWidth="1"/>
    <col min="14593" max="14593" width="38.42578125" style="45" customWidth="1"/>
    <col min="14594" max="14597" width="9.140625" style="45"/>
    <col min="14598" max="14598" width="8.42578125" style="45" customWidth="1"/>
    <col min="14599" max="14599" width="40.140625" style="45" customWidth="1"/>
    <col min="14600" max="14601" width="9.140625" style="45"/>
    <col min="14602" max="14602" width="9.42578125" style="45" customWidth="1"/>
    <col min="14603" max="14603" width="10.140625" style="45" customWidth="1"/>
    <col min="14604" max="14604" width="20.85546875" style="45" customWidth="1"/>
    <col min="14605" max="14847" width="9.140625" style="45"/>
    <col min="14848" max="14848" width="7.5703125" style="45" customWidth="1"/>
    <col min="14849" max="14849" width="38.42578125" style="45" customWidth="1"/>
    <col min="14850" max="14853" width="9.140625" style="45"/>
    <col min="14854" max="14854" width="8.42578125" style="45" customWidth="1"/>
    <col min="14855" max="14855" width="40.140625" style="45" customWidth="1"/>
    <col min="14856" max="14857" width="9.140625" style="45"/>
    <col min="14858" max="14858" width="9.42578125" style="45" customWidth="1"/>
    <col min="14859" max="14859" width="10.140625" style="45" customWidth="1"/>
    <col min="14860" max="14860" width="20.85546875" style="45" customWidth="1"/>
    <col min="14861" max="15103" width="9.140625" style="45"/>
    <col min="15104" max="15104" width="7.5703125" style="45" customWidth="1"/>
    <col min="15105" max="15105" width="38.42578125" style="45" customWidth="1"/>
    <col min="15106" max="15109" width="9.140625" style="45"/>
    <col min="15110" max="15110" width="8.42578125" style="45" customWidth="1"/>
    <col min="15111" max="15111" width="40.140625" style="45" customWidth="1"/>
    <col min="15112" max="15113" width="9.140625" style="45"/>
    <col min="15114" max="15114" width="9.42578125" style="45" customWidth="1"/>
    <col min="15115" max="15115" width="10.140625" style="45" customWidth="1"/>
    <col min="15116" max="15116" width="20.85546875" style="45" customWidth="1"/>
    <col min="15117" max="15359" width="9.140625" style="45"/>
    <col min="15360" max="15360" width="7.5703125" style="45" customWidth="1"/>
    <col min="15361" max="15361" width="38.42578125" style="45" customWidth="1"/>
    <col min="15362" max="15365" width="9.140625" style="45"/>
    <col min="15366" max="15366" width="8.42578125" style="45" customWidth="1"/>
    <col min="15367" max="15367" width="40.140625" style="45" customWidth="1"/>
    <col min="15368" max="15369" width="9.140625" style="45"/>
    <col min="15370" max="15370" width="9.42578125" style="45" customWidth="1"/>
    <col min="15371" max="15371" width="10.140625" style="45" customWidth="1"/>
    <col min="15372" max="15372" width="20.85546875" style="45" customWidth="1"/>
    <col min="15373" max="15615" width="9.140625" style="45"/>
    <col min="15616" max="15616" width="7.5703125" style="45" customWidth="1"/>
    <col min="15617" max="15617" width="38.42578125" style="45" customWidth="1"/>
    <col min="15618" max="15621" width="9.140625" style="45"/>
    <col min="15622" max="15622" width="8.42578125" style="45" customWidth="1"/>
    <col min="15623" max="15623" width="40.140625" style="45" customWidth="1"/>
    <col min="15624" max="15625" width="9.140625" style="45"/>
    <col min="15626" max="15626" width="9.42578125" style="45" customWidth="1"/>
    <col min="15627" max="15627" width="10.140625" style="45" customWidth="1"/>
    <col min="15628" max="15628" width="20.85546875" style="45" customWidth="1"/>
    <col min="15629" max="15871" width="9.140625" style="45"/>
    <col min="15872" max="15872" width="7.5703125" style="45" customWidth="1"/>
    <col min="15873" max="15873" width="38.42578125" style="45" customWidth="1"/>
    <col min="15874" max="15877" width="9.140625" style="45"/>
    <col min="15878" max="15878" width="8.42578125" style="45" customWidth="1"/>
    <col min="15879" max="15879" width="40.140625" style="45" customWidth="1"/>
    <col min="15880" max="15881" width="9.140625" style="45"/>
    <col min="15882" max="15882" width="9.42578125" style="45" customWidth="1"/>
    <col min="15883" max="15883" width="10.140625" style="45" customWidth="1"/>
    <col min="15884" max="15884" width="20.85546875" style="45" customWidth="1"/>
    <col min="15885" max="16127" width="9.140625" style="45"/>
    <col min="16128" max="16128" width="7.5703125" style="45" customWidth="1"/>
    <col min="16129" max="16129" width="38.42578125" style="45" customWidth="1"/>
    <col min="16130" max="16133" width="9.140625" style="45"/>
    <col min="16134" max="16134" width="8.42578125" style="45" customWidth="1"/>
    <col min="16135" max="16135" width="40.140625" style="45" customWidth="1"/>
    <col min="16136" max="16137" width="9.140625" style="45"/>
    <col min="16138" max="16138" width="9.42578125" style="45" customWidth="1"/>
    <col min="16139" max="16139" width="10.140625" style="45" customWidth="1"/>
    <col min="16140" max="16140" width="20.85546875" style="45" customWidth="1"/>
    <col min="16141" max="16384" width="9.140625" style="45"/>
  </cols>
  <sheetData>
    <row r="1" spans="1:12" ht="30.75" customHeight="1" x14ac:dyDescent="0.25">
      <c r="A1" s="319" t="s">
        <v>1319</v>
      </c>
      <c r="B1" s="319"/>
      <c r="C1" s="319"/>
      <c r="D1" s="319"/>
      <c r="E1" s="319"/>
      <c r="F1" s="319"/>
      <c r="G1" s="319"/>
      <c r="H1" s="319"/>
      <c r="I1" s="319"/>
      <c r="J1" s="319"/>
      <c r="K1" s="319"/>
      <c r="L1" s="319"/>
    </row>
    <row r="2" spans="1:12" ht="22.5" customHeight="1" x14ac:dyDescent="0.25">
      <c r="A2" s="213"/>
      <c r="B2" s="213"/>
      <c r="C2" s="365"/>
      <c r="D2" s="365"/>
      <c r="E2" s="365"/>
      <c r="F2" s="365"/>
      <c r="G2" s="158"/>
      <c r="H2" s="369" t="s">
        <v>962</v>
      </c>
      <c r="I2" s="369"/>
      <c r="J2" s="369"/>
      <c r="K2" s="369"/>
      <c r="L2" s="369"/>
    </row>
    <row r="3" spans="1:12" ht="16.5" x14ac:dyDescent="0.25">
      <c r="A3" s="366" t="s">
        <v>0</v>
      </c>
      <c r="B3" s="366" t="s">
        <v>1</v>
      </c>
      <c r="C3" s="368" t="s">
        <v>2</v>
      </c>
      <c r="D3" s="368"/>
      <c r="E3" s="368"/>
      <c r="F3" s="368"/>
      <c r="G3" s="349" t="s">
        <v>0</v>
      </c>
      <c r="H3" s="282" t="s">
        <v>1</v>
      </c>
      <c r="I3" s="282" t="s">
        <v>1135</v>
      </c>
      <c r="J3" s="282"/>
      <c r="K3" s="282"/>
      <c r="L3" s="282" t="s">
        <v>86</v>
      </c>
    </row>
    <row r="4" spans="1:12" ht="39" customHeight="1" x14ac:dyDescent="0.25">
      <c r="A4" s="367"/>
      <c r="B4" s="367"/>
      <c r="C4" s="47" t="s">
        <v>6</v>
      </c>
      <c r="D4" s="47" t="s">
        <v>3</v>
      </c>
      <c r="E4" s="47" t="s">
        <v>7</v>
      </c>
      <c r="F4" s="47" t="s">
        <v>963</v>
      </c>
      <c r="G4" s="350"/>
      <c r="H4" s="282"/>
      <c r="I4" s="82" t="s">
        <v>6</v>
      </c>
      <c r="J4" s="82" t="s">
        <v>3</v>
      </c>
      <c r="K4" s="82" t="s">
        <v>7</v>
      </c>
      <c r="L4" s="282"/>
    </row>
    <row r="5" spans="1:12" ht="16.5" x14ac:dyDescent="0.25">
      <c r="A5" s="47" t="s">
        <v>9</v>
      </c>
      <c r="B5" s="58" t="s">
        <v>964</v>
      </c>
      <c r="C5" s="49"/>
      <c r="D5" s="50"/>
      <c r="E5" s="50"/>
      <c r="F5" s="50"/>
      <c r="G5" s="71" t="s">
        <v>9</v>
      </c>
      <c r="H5" s="175" t="str">
        <f>B5</f>
        <v>Trục đường Tỉnh lộ 142.</v>
      </c>
      <c r="I5" s="71"/>
      <c r="J5" s="71"/>
      <c r="K5" s="71"/>
      <c r="L5" s="61"/>
    </row>
    <row r="6" spans="1:12" ht="66" customHeight="1" x14ac:dyDescent="0.25">
      <c r="A6" s="51">
        <v>1</v>
      </c>
      <c r="B6" s="52" t="s">
        <v>965</v>
      </c>
      <c r="C6" s="215">
        <v>660</v>
      </c>
      <c r="D6" s="215">
        <v>560</v>
      </c>
      <c r="E6" s="215">
        <v>395</v>
      </c>
      <c r="F6" s="215"/>
      <c r="G6" s="61">
        <v>1</v>
      </c>
      <c r="H6" s="90" t="s">
        <v>1108</v>
      </c>
      <c r="I6" s="274">
        <f t="shared" ref="I6:K7" si="0">C6*1.1</f>
        <v>726.00000000000011</v>
      </c>
      <c r="J6" s="274">
        <f t="shared" si="0"/>
        <v>616</v>
      </c>
      <c r="K6" s="274">
        <f t="shared" si="0"/>
        <v>434.50000000000006</v>
      </c>
      <c r="L6" s="65" t="s">
        <v>1109</v>
      </c>
    </row>
    <row r="7" spans="1:12" ht="47.25" customHeight="1" x14ac:dyDescent="0.25">
      <c r="A7" s="51">
        <v>2</v>
      </c>
      <c r="B7" s="52" t="s">
        <v>966</v>
      </c>
      <c r="C7" s="215">
        <v>600</v>
      </c>
      <c r="D7" s="215">
        <v>490</v>
      </c>
      <c r="E7" s="215">
        <v>340</v>
      </c>
      <c r="F7" s="215"/>
      <c r="G7" s="65">
        <v>2</v>
      </c>
      <c r="H7" s="90" t="str">
        <f t="shared" ref="H7:H26" si="1">B7</f>
        <v>Đoạn từ đầu cầu Tạo Sen hết địa phận thị xã Mường Lay.</v>
      </c>
      <c r="I7" s="274">
        <f t="shared" si="0"/>
        <v>660</v>
      </c>
      <c r="J7" s="274">
        <f t="shared" si="0"/>
        <v>539</v>
      </c>
      <c r="K7" s="274">
        <f t="shared" si="0"/>
        <v>374.00000000000006</v>
      </c>
      <c r="L7" s="61"/>
    </row>
    <row r="8" spans="1:12" ht="66" x14ac:dyDescent="0.25">
      <c r="A8" s="51">
        <v>3</v>
      </c>
      <c r="B8" s="52" t="s">
        <v>967</v>
      </c>
      <c r="C8" s="215">
        <v>800</v>
      </c>
      <c r="D8" s="49"/>
      <c r="E8" s="49"/>
      <c r="F8" s="49"/>
      <c r="G8" s="61">
        <v>3</v>
      </c>
      <c r="H8" s="90" t="str">
        <f t="shared" si="1"/>
        <v>Đường tỉnh lộ 142 đoạn từ đầu cầu Nam Nậm Cản đến hết đất thửa số 56 tờ bản đồ số 7 (nút giao với đường NC12 hết bản Na Ka)</v>
      </c>
      <c r="I8" s="274">
        <f>C8*1.1</f>
        <v>880.00000000000011</v>
      </c>
      <c r="J8" s="274"/>
      <c r="K8" s="274"/>
      <c r="L8" s="61"/>
    </row>
    <row r="9" spans="1:12" ht="16.5" x14ac:dyDescent="0.25">
      <c r="A9" s="47" t="s">
        <v>39</v>
      </c>
      <c r="B9" s="58" t="s">
        <v>968</v>
      </c>
      <c r="C9" s="216"/>
      <c r="D9" s="215"/>
      <c r="E9" s="215"/>
      <c r="F9" s="215"/>
      <c r="G9" s="82" t="str">
        <f t="shared" ref="G9:G23" si="2">A9</f>
        <v>II</v>
      </c>
      <c r="H9" s="84" t="str">
        <f t="shared" si="1"/>
        <v>Trục đường Quốc lộ 12.</v>
      </c>
      <c r="I9" s="274"/>
      <c r="J9" s="274"/>
      <c r="K9" s="274"/>
      <c r="L9" s="61"/>
    </row>
    <row r="10" spans="1:12" ht="33" x14ac:dyDescent="0.25">
      <c r="A10" s="51">
        <v>1</v>
      </c>
      <c r="B10" s="52" t="s">
        <v>969</v>
      </c>
      <c r="C10" s="215">
        <v>660</v>
      </c>
      <c r="D10" s="215">
        <v>420</v>
      </c>
      <c r="E10" s="215">
        <v>350</v>
      </c>
      <c r="F10" s="215"/>
      <c r="G10" s="61">
        <f t="shared" si="2"/>
        <v>1</v>
      </c>
      <c r="H10" s="90" t="str">
        <f t="shared" si="1"/>
        <v>Đoạn từ điểm giao địa phận phường Na Lay đến nam Cầu Huổi Hái.</v>
      </c>
      <c r="I10" s="274">
        <f t="shared" ref="I10:K12" si="3">C10*1.1</f>
        <v>726.00000000000011</v>
      </c>
      <c r="J10" s="274">
        <f t="shared" si="3"/>
        <v>462.00000000000006</v>
      </c>
      <c r="K10" s="274">
        <f t="shared" si="3"/>
        <v>385.00000000000006</v>
      </c>
      <c r="L10" s="61"/>
    </row>
    <row r="11" spans="1:12" ht="33" x14ac:dyDescent="0.25">
      <c r="A11" s="51">
        <v>2</v>
      </c>
      <c r="B11" s="52" t="s">
        <v>970</v>
      </c>
      <c r="C11" s="215">
        <v>590</v>
      </c>
      <c r="D11" s="215">
        <v>490</v>
      </c>
      <c r="E11" s="215">
        <v>325</v>
      </c>
      <c r="F11" s="215"/>
      <c r="G11" s="61">
        <f t="shared" si="2"/>
        <v>2</v>
      </c>
      <c r="H11" s="90" t="str">
        <f t="shared" si="1"/>
        <v>Đoạn từ nam cầu Huổi Hái đến nam Huổi Phán</v>
      </c>
      <c r="I11" s="274">
        <f t="shared" si="3"/>
        <v>649</v>
      </c>
      <c r="J11" s="274">
        <f t="shared" si="3"/>
        <v>539</v>
      </c>
      <c r="K11" s="274">
        <f t="shared" si="3"/>
        <v>357.50000000000006</v>
      </c>
      <c r="L11" s="61"/>
    </row>
    <row r="12" spans="1:12" ht="33" x14ac:dyDescent="0.25">
      <c r="A12" s="51">
        <v>3</v>
      </c>
      <c r="B12" s="52" t="s">
        <v>971</v>
      </c>
      <c r="C12" s="215">
        <v>450</v>
      </c>
      <c r="D12" s="215">
        <v>430</v>
      </c>
      <c r="E12" s="215">
        <v>310</v>
      </c>
      <c r="F12" s="215"/>
      <c r="G12" s="61">
        <f t="shared" si="2"/>
        <v>3</v>
      </c>
      <c r="H12" s="90" t="str">
        <f t="shared" si="1"/>
        <v>Đoạn từ nam cầu Huổi Phán đến hết địa phận thị xã Mường Lay</v>
      </c>
      <c r="I12" s="274">
        <f t="shared" si="3"/>
        <v>495.00000000000006</v>
      </c>
      <c r="J12" s="274">
        <f t="shared" si="3"/>
        <v>473.00000000000006</v>
      </c>
      <c r="K12" s="274">
        <f t="shared" si="3"/>
        <v>341</v>
      </c>
      <c r="L12" s="61"/>
    </row>
    <row r="13" spans="1:12" ht="49.5" x14ac:dyDescent="0.25">
      <c r="A13" s="47" t="s">
        <v>54</v>
      </c>
      <c r="B13" s="58" t="s">
        <v>972</v>
      </c>
      <c r="C13" s="215"/>
      <c r="D13" s="215"/>
      <c r="E13" s="215"/>
      <c r="F13" s="215"/>
      <c r="G13" s="71" t="str">
        <f t="shared" si="2"/>
        <v>III</v>
      </c>
      <c r="H13" s="84" t="str">
        <f t="shared" si="1"/>
        <v>Đường giao thông nội bộ khu TĐC Bản Bắc 1, Bắc 2, Bản Ổ, Bản Na Ka.</v>
      </c>
      <c r="I13" s="274"/>
      <c r="J13" s="274"/>
      <c r="K13" s="274"/>
      <c r="L13" s="61"/>
    </row>
    <row r="14" spans="1:12" ht="78" customHeight="1" x14ac:dyDescent="0.25">
      <c r="A14" s="51">
        <v>1</v>
      </c>
      <c r="B14" s="52" t="s">
        <v>973</v>
      </c>
      <c r="C14" s="215">
        <v>660</v>
      </c>
      <c r="D14" s="215"/>
      <c r="E14" s="215"/>
      <c r="F14" s="215"/>
      <c r="G14" s="61">
        <f t="shared" si="2"/>
        <v>1</v>
      </c>
      <c r="H14" s="90" t="s">
        <v>1110</v>
      </c>
      <c r="I14" s="274">
        <f>C14*1.1</f>
        <v>726.00000000000011</v>
      </c>
      <c r="J14" s="274"/>
      <c r="K14" s="274"/>
      <c r="L14" s="297" t="s">
        <v>1109</v>
      </c>
    </row>
    <row r="15" spans="1:12" ht="78" customHeight="1" x14ac:dyDescent="0.25">
      <c r="A15" s="51">
        <v>2</v>
      </c>
      <c r="B15" s="52" t="s">
        <v>974</v>
      </c>
      <c r="C15" s="215">
        <v>660</v>
      </c>
      <c r="D15" s="215"/>
      <c r="E15" s="215"/>
      <c r="F15" s="215"/>
      <c r="G15" s="61">
        <f t="shared" si="2"/>
        <v>2</v>
      </c>
      <c r="H15" s="90" t="s">
        <v>1111</v>
      </c>
      <c r="I15" s="274">
        <f>C15*1.1</f>
        <v>726.00000000000011</v>
      </c>
      <c r="J15" s="274"/>
      <c r="K15" s="274"/>
      <c r="L15" s="305"/>
    </row>
    <row r="16" spans="1:12" ht="72.75" customHeight="1" x14ac:dyDescent="0.25">
      <c r="A16" s="51">
        <v>3</v>
      </c>
      <c r="B16" s="52" t="s">
        <v>975</v>
      </c>
      <c r="C16" s="215">
        <v>575</v>
      </c>
      <c r="D16" s="215"/>
      <c r="E16" s="215"/>
      <c r="F16" s="215"/>
      <c r="G16" s="61">
        <f t="shared" si="2"/>
        <v>3</v>
      </c>
      <c r="H16" s="52" t="s">
        <v>1112</v>
      </c>
      <c r="I16" s="274">
        <f>C16*1.1</f>
        <v>632.5</v>
      </c>
      <c r="J16" s="274"/>
      <c r="K16" s="274"/>
      <c r="L16" s="298"/>
    </row>
    <row r="17" spans="1:12" ht="51.75" customHeight="1" x14ac:dyDescent="0.25">
      <c r="A17" s="51">
        <v>4</v>
      </c>
      <c r="B17" s="56" t="s">
        <v>976</v>
      </c>
      <c r="C17" s="215">
        <v>770</v>
      </c>
      <c r="D17" s="215"/>
      <c r="E17" s="215"/>
      <c r="F17" s="215"/>
      <c r="G17" s="61">
        <f t="shared" si="2"/>
        <v>4</v>
      </c>
      <c r="H17" s="90" t="str">
        <f>B17</f>
        <v>Đường NC14: Đoạn từ nút giao với Tỉnh Lộ 142 đến nút giao với đường NC12.</v>
      </c>
      <c r="I17" s="274">
        <f>C17*1.1</f>
        <v>847.00000000000011</v>
      </c>
      <c r="J17" s="275"/>
      <c r="K17" s="275"/>
      <c r="L17" s="61"/>
    </row>
    <row r="18" spans="1:12" ht="35.25" customHeight="1" x14ac:dyDescent="0.25">
      <c r="A18" s="51">
        <v>5</v>
      </c>
      <c r="B18" s="165" t="s">
        <v>977</v>
      </c>
      <c r="C18" s="215">
        <v>660</v>
      </c>
      <c r="D18" s="215"/>
      <c r="E18" s="215"/>
      <c r="F18" s="215"/>
      <c r="G18" s="61">
        <f t="shared" si="2"/>
        <v>5</v>
      </c>
      <c r="H18" s="90" t="s">
        <v>1113</v>
      </c>
      <c r="I18" s="274">
        <f>C18*1.1</f>
        <v>726.00000000000011</v>
      </c>
      <c r="J18" s="275"/>
      <c r="K18" s="275"/>
      <c r="L18" s="65" t="s">
        <v>1109</v>
      </c>
    </row>
    <row r="19" spans="1:12" ht="16.5" x14ac:dyDescent="0.25">
      <c r="A19" s="47" t="s">
        <v>64</v>
      </c>
      <c r="B19" s="58" t="s">
        <v>978</v>
      </c>
      <c r="C19" s="216"/>
      <c r="D19" s="215"/>
      <c r="E19" s="215"/>
      <c r="F19" s="215"/>
      <c r="G19" s="71" t="str">
        <f t="shared" si="2"/>
        <v>IV</v>
      </c>
      <c r="H19" s="84" t="str">
        <f t="shared" si="1"/>
        <v>Các bản vùng cao</v>
      </c>
      <c r="I19" s="274"/>
      <c r="J19" s="275"/>
      <c r="K19" s="275"/>
      <c r="L19" s="61"/>
    </row>
    <row r="20" spans="1:12" ht="16.5" x14ac:dyDescent="0.25">
      <c r="A20" s="51">
        <v>1</v>
      </c>
      <c r="B20" s="52" t="s">
        <v>979</v>
      </c>
      <c r="C20" s="216">
        <v>65</v>
      </c>
      <c r="D20" s="215"/>
      <c r="E20" s="215"/>
      <c r="F20" s="215"/>
      <c r="G20" s="61">
        <f t="shared" si="2"/>
        <v>1</v>
      </c>
      <c r="H20" s="90" t="str">
        <f t="shared" si="1"/>
        <v>Bản Hô Huổi Luông</v>
      </c>
      <c r="I20" s="274">
        <f>C20*1.1</f>
        <v>71.5</v>
      </c>
      <c r="J20" s="275"/>
      <c r="K20" s="275"/>
      <c r="L20" s="61"/>
    </row>
    <row r="21" spans="1:12" ht="16.5" x14ac:dyDescent="0.25">
      <c r="A21" s="51">
        <v>2</v>
      </c>
      <c r="B21" s="52" t="s">
        <v>980</v>
      </c>
      <c r="C21" s="216">
        <v>65</v>
      </c>
      <c r="D21" s="215"/>
      <c r="E21" s="215"/>
      <c r="F21" s="215"/>
      <c r="G21" s="61">
        <f t="shared" si="2"/>
        <v>2</v>
      </c>
      <c r="H21" s="90" t="str">
        <f t="shared" si="1"/>
        <v>Bản Hô Nậm Cản</v>
      </c>
      <c r="I21" s="274">
        <f>C21*1.1</f>
        <v>71.5</v>
      </c>
      <c r="J21" s="275"/>
      <c r="K21" s="275"/>
      <c r="L21" s="61"/>
    </row>
    <row r="22" spans="1:12" ht="16.5" x14ac:dyDescent="0.25">
      <c r="A22" s="51">
        <v>3</v>
      </c>
      <c r="B22" s="52" t="s">
        <v>981</v>
      </c>
      <c r="C22" s="216">
        <v>65</v>
      </c>
      <c r="D22" s="215"/>
      <c r="E22" s="215"/>
      <c r="F22" s="215"/>
      <c r="G22" s="61">
        <f t="shared" si="2"/>
        <v>3</v>
      </c>
      <c r="H22" s="90" t="str">
        <f t="shared" si="1"/>
        <v>Bản Huổi Luân</v>
      </c>
      <c r="I22" s="274">
        <f>C22*1.1</f>
        <v>71.5</v>
      </c>
      <c r="J22" s="275"/>
      <c r="K22" s="275"/>
      <c r="L22" s="61"/>
    </row>
    <row r="23" spans="1:12" ht="16.5" x14ac:dyDescent="0.25">
      <c r="A23" s="47" t="s">
        <v>75</v>
      </c>
      <c r="B23" s="58" t="s">
        <v>982</v>
      </c>
      <c r="C23" s="49"/>
      <c r="D23" s="50"/>
      <c r="E23" s="50"/>
      <c r="F23" s="50"/>
      <c r="G23" s="71" t="str">
        <f t="shared" si="2"/>
        <v>V</v>
      </c>
      <c r="H23" s="84" t="str">
        <f t="shared" si="1"/>
        <v>Các đường nội bản vùng thấp</v>
      </c>
      <c r="I23" s="274"/>
      <c r="J23" s="275"/>
      <c r="K23" s="275"/>
      <c r="L23" s="61"/>
    </row>
    <row r="24" spans="1:12" ht="16.5" x14ac:dyDescent="0.25">
      <c r="A24" s="51"/>
      <c r="B24" s="217" t="s">
        <v>983</v>
      </c>
      <c r="C24" s="216">
        <v>400</v>
      </c>
      <c r="D24" s="50"/>
      <c r="E24" s="50"/>
      <c r="F24" s="50"/>
      <c r="G24" s="61"/>
      <c r="H24" s="90" t="str">
        <f t="shared" si="1"/>
        <v>- Đường nhựa</v>
      </c>
      <c r="I24" s="274">
        <f>C24*1.1</f>
        <v>440.00000000000006</v>
      </c>
      <c r="J24" s="275"/>
      <c r="K24" s="275"/>
      <c r="L24" s="61"/>
    </row>
    <row r="25" spans="1:12" ht="24" customHeight="1" x14ac:dyDescent="0.25">
      <c r="A25" s="51"/>
      <c r="B25" s="217" t="s">
        <v>984</v>
      </c>
      <c r="C25" s="216">
        <v>320</v>
      </c>
      <c r="D25" s="49"/>
      <c r="E25" s="49"/>
      <c r="F25" s="49"/>
      <c r="G25" s="61"/>
      <c r="H25" s="90" t="str">
        <f t="shared" si="1"/>
        <v>- Các trục đường bê tông nội bản</v>
      </c>
      <c r="I25" s="274">
        <v>386</v>
      </c>
      <c r="J25" s="276"/>
      <c r="K25" s="275"/>
      <c r="L25" s="65" t="s">
        <v>1114</v>
      </c>
    </row>
    <row r="26" spans="1:12" ht="16.5" x14ac:dyDescent="0.25">
      <c r="A26" s="214"/>
      <c r="B26" s="217" t="s">
        <v>985</v>
      </c>
      <c r="C26" s="216">
        <v>200</v>
      </c>
      <c r="D26" s="49"/>
      <c r="E26" s="49"/>
      <c r="F26" s="49"/>
      <c r="G26" s="61"/>
      <c r="H26" s="90" t="str">
        <f t="shared" si="1"/>
        <v xml:space="preserve">- Các trục đường đất nội bản </v>
      </c>
      <c r="I26" s="274">
        <f>C26*1.1</f>
        <v>220.00000000000003</v>
      </c>
      <c r="J26" s="275"/>
      <c r="K26" s="275"/>
      <c r="L26" s="61"/>
    </row>
  </sheetData>
  <mergeCells count="11">
    <mergeCell ref="L14:L16"/>
    <mergeCell ref="A1:L1"/>
    <mergeCell ref="C2:F2"/>
    <mergeCell ref="A3:A4"/>
    <mergeCell ref="B3:B4"/>
    <mergeCell ref="C3:F3"/>
    <mergeCell ref="G3:G4"/>
    <mergeCell ref="H3:H4"/>
    <mergeCell ref="I3:K3"/>
    <mergeCell ref="L3:L4"/>
    <mergeCell ref="H2:L2"/>
  </mergeCells>
  <pageMargins left="0.28740157500000002" right="0.140551181" top="0.49055118110236201" bottom="0.19055118110236199" header="0.118110236220472" footer="0.118110236220472"/>
  <pageSetup paperSize="9" scale="95" firstPageNumber="54" orientation="portrait" useFirstPageNumber="1"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topLeftCell="G1" zoomScale="70" zoomScaleNormal="70" zoomScalePageLayoutView="115" workbookViewId="0">
      <selection activeCell="Y11" sqref="Y11"/>
    </sheetView>
  </sheetViews>
  <sheetFormatPr defaultRowHeight="16.5" x14ac:dyDescent="0.25"/>
  <cols>
    <col min="1" max="1" width="8.140625" style="67" hidden="1" customWidth="1"/>
    <col min="2" max="2" width="46.5703125" style="67" hidden="1" customWidth="1"/>
    <col min="3" max="6" width="12.28515625" style="66" hidden="1" customWidth="1"/>
    <col min="7" max="7" width="8.140625" style="67" customWidth="1"/>
    <col min="8" max="8" width="50.85546875" style="67" customWidth="1"/>
    <col min="9" max="9" width="12.140625" style="85" customWidth="1"/>
    <col min="10" max="10" width="13.28515625" style="85" customWidth="1"/>
    <col min="11" max="11" width="14.85546875" style="85" customWidth="1"/>
    <col min="12" max="12" width="15.5703125" style="85" customWidth="1"/>
    <col min="13" max="14" width="12.28515625" style="85" hidden="1" customWidth="1"/>
    <col min="15" max="15" width="48.5703125" style="66" hidden="1" customWidth="1"/>
    <col min="16" max="18" width="12.28515625" style="67" hidden="1" customWidth="1"/>
    <col min="19" max="20" width="9.140625" style="67" hidden="1" customWidth="1"/>
    <col min="21" max="22" width="0" style="67" hidden="1" customWidth="1"/>
    <col min="23" max="258" width="9.140625" style="67"/>
    <col min="259" max="259" width="8.140625" style="67" customWidth="1"/>
    <col min="260" max="260" width="46.5703125" style="67" customWidth="1"/>
    <col min="261" max="264" width="12.28515625" style="67" customWidth="1"/>
    <col min="265" max="265" width="8.140625" style="67" customWidth="1"/>
    <col min="266" max="266" width="47.28515625" style="67" customWidth="1"/>
    <col min="267" max="270" width="12.28515625" style="67" customWidth="1"/>
    <col min="271" max="271" width="48.5703125" style="67" customWidth="1"/>
    <col min="272" max="274" width="12.28515625" style="67" bestFit="1" customWidth="1"/>
    <col min="275" max="514" width="9.140625" style="67"/>
    <col min="515" max="515" width="8.140625" style="67" customWidth="1"/>
    <col min="516" max="516" width="46.5703125" style="67" customWidth="1"/>
    <col min="517" max="520" width="12.28515625" style="67" customWidth="1"/>
    <col min="521" max="521" width="8.140625" style="67" customWidth="1"/>
    <col min="522" max="522" width="47.28515625" style="67" customWidth="1"/>
    <col min="523" max="526" width="12.28515625" style="67" customWidth="1"/>
    <col min="527" max="527" width="48.5703125" style="67" customWidth="1"/>
    <col min="528" max="530" width="12.28515625" style="67" bestFit="1" customWidth="1"/>
    <col min="531" max="770" width="9.140625" style="67"/>
    <col min="771" max="771" width="8.140625" style="67" customWidth="1"/>
    <col min="772" max="772" width="46.5703125" style="67" customWidth="1"/>
    <col min="773" max="776" width="12.28515625" style="67" customWidth="1"/>
    <col min="777" max="777" width="8.140625" style="67" customWidth="1"/>
    <col min="778" max="778" width="47.28515625" style="67" customWidth="1"/>
    <col min="779" max="782" width="12.28515625" style="67" customWidth="1"/>
    <col min="783" max="783" width="48.5703125" style="67" customWidth="1"/>
    <col min="784" max="786" width="12.28515625" style="67" bestFit="1" customWidth="1"/>
    <col min="787" max="1026" width="9.140625" style="67"/>
    <col min="1027" max="1027" width="8.140625" style="67" customWidth="1"/>
    <col min="1028" max="1028" width="46.5703125" style="67" customWidth="1"/>
    <col min="1029" max="1032" width="12.28515625" style="67" customWidth="1"/>
    <col min="1033" max="1033" width="8.140625" style="67" customWidth="1"/>
    <col min="1034" max="1034" width="47.28515625" style="67" customWidth="1"/>
    <col min="1035" max="1038" width="12.28515625" style="67" customWidth="1"/>
    <col min="1039" max="1039" width="48.5703125" style="67" customWidth="1"/>
    <col min="1040" max="1042" width="12.28515625" style="67" bestFit="1" customWidth="1"/>
    <col min="1043" max="1282" width="9.140625" style="67"/>
    <col min="1283" max="1283" width="8.140625" style="67" customWidth="1"/>
    <col min="1284" max="1284" width="46.5703125" style="67" customWidth="1"/>
    <col min="1285" max="1288" width="12.28515625" style="67" customWidth="1"/>
    <col min="1289" max="1289" width="8.140625" style="67" customWidth="1"/>
    <col min="1290" max="1290" width="47.28515625" style="67" customWidth="1"/>
    <col min="1291" max="1294" width="12.28515625" style="67" customWidth="1"/>
    <col min="1295" max="1295" width="48.5703125" style="67" customWidth="1"/>
    <col min="1296" max="1298" width="12.28515625" style="67" bestFit="1" customWidth="1"/>
    <col min="1299" max="1538" width="9.140625" style="67"/>
    <col min="1539" max="1539" width="8.140625" style="67" customWidth="1"/>
    <col min="1540" max="1540" width="46.5703125" style="67" customWidth="1"/>
    <col min="1541" max="1544" width="12.28515625" style="67" customWidth="1"/>
    <col min="1545" max="1545" width="8.140625" style="67" customWidth="1"/>
    <col min="1546" max="1546" width="47.28515625" style="67" customWidth="1"/>
    <col min="1547" max="1550" width="12.28515625" style="67" customWidth="1"/>
    <col min="1551" max="1551" width="48.5703125" style="67" customWidth="1"/>
    <col min="1552" max="1554" width="12.28515625" style="67" bestFit="1" customWidth="1"/>
    <col min="1555" max="1794" width="9.140625" style="67"/>
    <col min="1795" max="1795" width="8.140625" style="67" customWidth="1"/>
    <col min="1796" max="1796" width="46.5703125" style="67" customWidth="1"/>
    <col min="1797" max="1800" width="12.28515625" style="67" customWidth="1"/>
    <col min="1801" max="1801" width="8.140625" style="67" customWidth="1"/>
    <col min="1802" max="1802" width="47.28515625" style="67" customWidth="1"/>
    <col min="1803" max="1806" width="12.28515625" style="67" customWidth="1"/>
    <col min="1807" max="1807" width="48.5703125" style="67" customWidth="1"/>
    <col min="1808" max="1810" width="12.28515625" style="67" bestFit="1" customWidth="1"/>
    <col min="1811" max="2050" width="9.140625" style="67"/>
    <col min="2051" max="2051" width="8.140625" style="67" customWidth="1"/>
    <col min="2052" max="2052" width="46.5703125" style="67" customWidth="1"/>
    <col min="2053" max="2056" width="12.28515625" style="67" customWidth="1"/>
    <col min="2057" max="2057" width="8.140625" style="67" customWidth="1"/>
    <col min="2058" max="2058" width="47.28515625" style="67" customWidth="1"/>
    <col min="2059" max="2062" width="12.28515625" style="67" customWidth="1"/>
    <col min="2063" max="2063" width="48.5703125" style="67" customWidth="1"/>
    <col min="2064" max="2066" width="12.28515625" style="67" bestFit="1" customWidth="1"/>
    <col min="2067" max="2306" width="9.140625" style="67"/>
    <col min="2307" max="2307" width="8.140625" style="67" customWidth="1"/>
    <col min="2308" max="2308" width="46.5703125" style="67" customWidth="1"/>
    <col min="2309" max="2312" width="12.28515625" style="67" customWidth="1"/>
    <col min="2313" max="2313" width="8.140625" style="67" customWidth="1"/>
    <col min="2314" max="2314" width="47.28515625" style="67" customWidth="1"/>
    <col min="2315" max="2318" width="12.28515625" style="67" customWidth="1"/>
    <col min="2319" max="2319" width="48.5703125" style="67" customWidth="1"/>
    <col min="2320" max="2322" width="12.28515625" style="67" bestFit="1" customWidth="1"/>
    <col min="2323" max="2562" width="9.140625" style="67"/>
    <col min="2563" max="2563" width="8.140625" style="67" customWidth="1"/>
    <col min="2564" max="2564" width="46.5703125" style="67" customWidth="1"/>
    <col min="2565" max="2568" width="12.28515625" style="67" customWidth="1"/>
    <col min="2569" max="2569" width="8.140625" style="67" customWidth="1"/>
    <col min="2570" max="2570" width="47.28515625" style="67" customWidth="1"/>
    <col min="2571" max="2574" width="12.28515625" style="67" customWidth="1"/>
    <col min="2575" max="2575" width="48.5703125" style="67" customWidth="1"/>
    <col min="2576" max="2578" width="12.28515625" style="67" bestFit="1" customWidth="1"/>
    <col min="2579" max="2818" width="9.140625" style="67"/>
    <col min="2819" max="2819" width="8.140625" style="67" customWidth="1"/>
    <col min="2820" max="2820" width="46.5703125" style="67" customWidth="1"/>
    <col min="2821" max="2824" width="12.28515625" style="67" customWidth="1"/>
    <col min="2825" max="2825" width="8.140625" style="67" customWidth="1"/>
    <col min="2826" max="2826" width="47.28515625" style="67" customWidth="1"/>
    <col min="2827" max="2830" width="12.28515625" style="67" customWidth="1"/>
    <col min="2831" max="2831" width="48.5703125" style="67" customWidth="1"/>
    <col min="2832" max="2834" width="12.28515625" style="67" bestFit="1" customWidth="1"/>
    <col min="2835" max="3074" width="9.140625" style="67"/>
    <col min="3075" max="3075" width="8.140625" style="67" customWidth="1"/>
    <col min="3076" max="3076" width="46.5703125" style="67" customWidth="1"/>
    <col min="3077" max="3080" width="12.28515625" style="67" customWidth="1"/>
    <col min="3081" max="3081" width="8.140625" style="67" customWidth="1"/>
    <col min="3082" max="3082" width="47.28515625" style="67" customWidth="1"/>
    <col min="3083" max="3086" width="12.28515625" style="67" customWidth="1"/>
    <col min="3087" max="3087" width="48.5703125" style="67" customWidth="1"/>
    <col min="3088" max="3090" width="12.28515625" style="67" bestFit="1" customWidth="1"/>
    <col min="3091" max="3330" width="9.140625" style="67"/>
    <col min="3331" max="3331" width="8.140625" style="67" customWidth="1"/>
    <col min="3332" max="3332" width="46.5703125" style="67" customWidth="1"/>
    <col min="3333" max="3336" width="12.28515625" style="67" customWidth="1"/>
    <col min="3337" max="3337" width="8.140625" style="67" customWidth="1"/>
    <col min="3338" max="3338" width="47.28515625" style="67" customWidth="1"/>
    <col min="3339" max="3342" width="12.28515625" style="67" customWidth="1"/>
    <col min="3343" max="3343" width="48.5703125" style="67" customWidth="1"/>
    <col min="3344" max="3346" width="12.28515625" style="67" bestFit="1" customWidth="1"/>
    <col min="3347" max="3586" width="9.140625" style="67"/>
    <col min="3587" max="3587" width="8.140625" style="67" customWidth="1"/>
    <col min="3588" max="3588" width="46.5703125" style="67" customWidth="1"/>
    <col min="3589" max="3592" width="12.28515625" style="67" customWidth="1"/>
    <col min="3593" max="3593" width="8.140625" style="67" customWidth="1"/>
    <col min="3594" max="3594" width="47.28515625" style="67" customWidth="1"/>
    <col min="3595" max="3598" width="12.28515625" style="67" customWidth="1"/>
    <col min="3599" max="3599" width="48.5703125" style="67" customWidth="1"/>
    <col min="3600" max="3602" width="12.28515625" style="67" bestFit="1" customWidth="1"/>
    <col min="3603" max="3842" width="9.140625" style="67"/>
    <col min="3843" max="3843" width="8.140625" style="67" customWidth="1"/>
    <col min="3844" max="3844" width="46.5703125" style="67" customWidth="1"/>
    <col min="3845" max="3848" width="12.28515625" style="67" customWidth="1"/>
    <col min="3849" max="3849" width="8.140625" style="67" customWidth="1"/>
    <col min="3850" max="3850" width="47.28515625" style="67" customWidth="1"/>
    <col min="3851" max="3854" width="12.28515625" style="67" customWidth="1"/>
    <col min="3855" max="3855" width="48.5703125" style="67" customWidth="1"/>
    <col min="3856" max="3858" width="12.28515625" style="67" bestFit="1" customWidth="1"/>
    <col min="3859" max="4098" width="9.140625" style="67"/>
    <col min="4099" max="4099" width="8.140625" style="67" customWidth="1"/>
    <col min="4100" max="4100" width="46.5703125" style="67" customWidth="1"/>
    <col min="4101" max="4104" width="12.28515625" style="67" customWidth="1"/>
    <col min="4105" max="4105" width="8.140625" style="67" customWidth="1"/>
    <col min="4106" max="4106" width="47.28515625" style="67" customWidth="1"/>
    <col min="4107" max="4110" width="12.28515625" style="67" customWidth="1"/>
    <col min="4111" max="4111" width="48.5703125" style="67" customWidth="1"/>
    <col min="4112" max="4114" width="12.28515625" style="67" bestFit="1" customWidth="1"/>
    <col min="4115" max="4354" width="9.140625" style="67"/>
    <col min="4355" max="4355" width="8.140625" style="67" customWidth="1"/>
    <col min="4356" max="4356" width="46.5703125" style="67" customWidth="1"/>
    <col min="4357" max="4360" width="12.28515625" style="67" customWidth="1"/>
    <col min="4361" max="4361" width="8.140625" style="67" customWidth="1"/>
    <col min="4362" max="4362" width="47.28515625" style="67" customWidth="1"/>
    <col min="4363" max="4366" width="12.28515625" style="67" customWidth="1"/>
    <col min="4367" max="4367" width="48.5703125" style="67" customWidth="1"/>
    <col min="4368" max="4370" width="12.28515625" style="67" bestFit="1" customWidth="1"/>
    <col min="4371" max="4610" width="9.140625" style="67"/>
    <col min="4611" max="4611" width="8.140625" style="67" customWidth="1"/>
    <col min="4612" max="4612" width="46.5703125" style="67" customWidth="1"/>
    <col min="4613" max="4616" width="12.28515625" style="67" customWidth="1"/>
    <col min="4617" max="4617" width="8.140625" style="67" customWidth="1"/>
    <col min="4618" max="4618" width="47.28515625" style="67" customWidth="1"/>
    <col min="4619" max="4622" width="12.28515625" style="67" customWidth="1"/>
    <col min="4623" max="4623" width="48.5703125" style="67" customWidth="1"/>
    <col min="4624" max="4626" width="12.28515625" style="67" bestFit="1" customWidth="1"/>
    <col min="4627" max="4866" width="9.140625" style="67"/>
    <col min="4867" max="4867" width="8.140625" style="67" customWidth="1"/>
    <col min="4868" max="4868" width="46.5703125" style="67" customWidth="1"/>
    <col min="4869" max="4872" width="12.28515625" style="67" customWidth="1"/>
    <col min="4873" max="4873" width="8.140625" style="67" customWidth="1"/>
    <col min="4874" max="4874" width="47.28515625" style="67" customWidth="1"/>
    <col min="4875" max="4878" width="12.28515625" style="67" customWidth="1"/>
    <col min="4879" max="4879" width="48.5703125" style="67" customWidth="1"/>
    <col min="4880" max="4882" width="12.28515625" style="67" bestFit="1" customWidth="1"/>
    <col min="4883" max="5122" width="9.140625" style="67"/>
    <col min="5123" max="5123" width="8.140625" style="67" customWidth="1"/>
    <col min="5124" max="5124" width="46.5703125" style="67" customWidth="1"/>
    <col min="5125" max="5128" width="12.28515625" style="67" customWidth="1"/>
    <col min="5129" max="5129" width="8.140625" style="67" customWidth="1"/>
    <col min="5130" max="5130" width="47.28515625" style="67" customWidth="1"/>
    <col min="5131" max="5134" width="12.28515625" style="67" customWidth="1"/>
    <col min="5135" max="5135" width="48.5703125" style="67" customWidth="1"/>
    <col min="5136" max="5138" width="12.28515625" style="67" bestFit="1" customWidth="1"/>
    <col min="5139" max="5378" width="9.140625" style="67"/>
    <col min="5379" max="5379" width="8.140625" style="67" customWidth="1"/>
    <col min="5380" max="5380" width="46.5703125" style="67" customWidth="1"/>
    <col min="5381" max="5384" width="12.28515625" style="67" customWidth="1"/>
    <col min="5385" max="5385" width="8.140625" style="67" customWidth="1"/>
    <col min="5386" max="5386" width="47.28515625" style="67" customWidth="1"/>
    <col min="5387" max="5390" width="12.28515625" style="67" customWidth="1"/>
    <col min="5391" max="5391" width="48.5703125" style="67" customWidth="1"/>
    <col min="5392" max="5394" width="12.28515625" style="67" bestFit="1" customWidth="1"/>
    <col min="5395" max="5634" width="9.140625" style="67"/>
    <col min="5635" max="5635" width="8.140625" style="67" customWidth="1"/>
    <col min="5636" max="5636" width="46.5703125" style="67" customWidth="1"/>
    <col min="5637" max="5640" width="12.28515625" style="67" customWidth="1"/>
    <col min="5641" max="5641" width="8.140625" style="67" customWidth="1"/>
    <col min="5642" max="5642" width="47.28515625" style="67" customWidth="1"/>
    <col min="5643" max="5646" width="12.28515625" style="67" customWidth="1"/>
    <col min="5647" max="5647" width="48.5703125" style="67" customWidth="1"/>
    <col min="5648" max="5650" width="12.28515625" style="67" bestFit="1" customWidth="1"/>
    <col min="5651" max="5890" width="9.140625" style="67"/>
    <col min="5891" max="5891" width="8.140625" style="67" customWidth="1"/>
    <col min="5892" max="5892" width="46.5703125" style="67" customWidth="1"/>
    <col min="5893" max="5896" width="12.28515625" style="67" customWidth="1"/>
    <col min="5897" max="5897" width="8.140625" style="67" customWidth="1"/>
    <col min="5898" max="5898" width="47.28515625" style="67" customWidth="1"/>
    <col min="5899" max="5902" width="12.28515625" style="67" customWidth="1"/>
    <col min="5903" max="5903" width="48.5703125" style="67" customWidth="1"/>
    <col min="5904" max="5906" width="12.28515625" style="67" bestFit="1" customWidth="1"/>
    <col min="5907" max="6146" width="9.140625" style="67"/>
    <col min="6147" max="6147" width="8.140625" style="67" customWidth="1"/>
    <col min="6148" max="6148" width="46.5703125" style="67" customWidth="1"/>
    <col min="6149" max="6152" width="12.28515625" style="67" customWidth="1"/>
    <col min="6153" max="6153" width="8.140625" style="67" customWidth="1"/>
    <col min="6154" max="6154" width="47.28515625" style="67" customWidth="1"/>
    <col min="6155" max="6158" width="12.28515625" style="67" customWidth="1"/>
    <col min="6159" max="6159" width="48.5703125" style="67" customWidth="1"/>
    <col min="6160" max="6162" width="12.28515625" style="67" bestFit="1" customWidth="1"/>
    <col min="6163" max="6402" width="9.140625" style="67"/>
    <col min="6403" max="6403" width="8.140625" style="67" customWidth="1"/>
    <col min="6404" max="6404" width="46.5703125" style="67" customWidth="1"/>
    <col min="6405" max="6408" width="12.28515625" style="67" customWidth="1"/>
    <col min="6409" max="6409" width="8.140625" style="67" customWidth="1"/>
    <col min="6410" max="6410" width="47.28515625" style="67" customWidth="1"/>
    <col min="6411" max="6414" width="12.28515625" style="67" customWidth="1"/>
    <col min="6415" max="6415" width="48.5703125" style="67" customWidth="1"/>
    <col min="6416" max="6418" width="12.28515625" style="67" bestFit="1" customWidth="1"/>
    <col min="6419" max="6658" width="9.140625" style="67"/>
    <col min="6659" max="6659" width="8.140625" style="67" customWidth="1"/>
    <col min="6660" max="6660" width="46.5703125" style="67" customWidth="1"/>
    <col min="6661" max="6664" width="12.28515625" style="67" customWidth="1"/>
    <col min="6665" max="6665" width="8.140625" style="67" customWidth="1"/>
    <col min="6666" max="6666" width="47.28515625" style="67" customWidth="1"/>
    <col min="6667" max="6670" width="12.28515625" style="67" customWidth="1"/>
    <col min="6671" max="6671" width="48.5703125" style="67" customWidth="1"/>
    <col min="6672" max="6674" width="12.28515625" style="67" bestFit="1" customWidth="1"/>
    <col min="6675" max="6914" width="9.140625" style="67"/>
    <col min="6915" max="6915" width="8.140625" style="67" customWidth="1"/>
    <col min="6916" max="6916" width="46.5703125" style="67" customWidth="1"/>
    <col min="6917" max="6920" width="12.28515625" style="67" customWidth="1"/>
    <col min="6921" max="6921" width="8.140625" style="67" customWidth="1"/>
    <col min="6922" max="6922" width="47.28515625" style="67" customWidth="1"/>
    <col min="6923" max="6926" width="12.28515625" style="67" customWidth="1"/>
    <col min="6927" max="6927" width="48.5703125" style="67" customWidth="1"/>
    <col min="6928" max="6930" width="12.28515625" style="67" bestFit="1" customWidth="1"/>
    <col min="6931" max="7170" width="9.140625" style="67"/>
    <col min="7171" max="7171" width="8.140625" style="67" customWidth="1"/>
    <col min="7172" max="7172" width="46.5703125" style="67" customWidth="1"/>
    <col min="7173" max="7176" width="12.28515625" style="67" customWidth="1"/>
    <col min="7177" max="7177" width="8.140625" style="67" customWidth="1"/>
    <col min="7178" max="7178" width="47.28515625" style="67" customWidth="1"/>
    <col min="7179" max="7182" width="12.28515625" style="67" customWidth="1"/>
    <col min="7183" max="7183" width="48.5703125" style="67" customWidth="1"/>
    <col min="7184" max="7186" width="12.28515625" style="67" bestFit="1" customWidth="1"/>
    <col min="7187" max="7426" width="9.140625" style="67"/>
    <col min="7427" max="7427" width="8.140625" style="67" customWidth="1"/>
    <col min="7428" max="7428" width="46.5703125" style="67" customWidth="1"/>
    <col min="7429" max="7432" width="12.28515625" style="67" customWidth="1"/>
    <col min="7433" max="7433" width="8.140625" style="67" customWidth="1"/>
    <col min="7434" max="7434" width="47.28515625" style="67" customWidth="1"/>
    <col min="7435" max="7438" width="12.28515625" style="67" customWidth="1"/>
    <col min="7439" max="7439" width="48.5703125" style="67" customWidth="1"/>
    <col min="7440" max="7442" width="12.28515625" style="67" bestFit="1" customWidth="1"/>
    <col min="7443" max="7682" width="9.140625" style="67"/>
    <col min="7683" max="7683" width="8.140625" style="67" customWidth="1"/>
    <col min="7684" max="7684" width="46.5703125" style="67" customWidth="1"/>
    <col min="7685" max="7688" width="12.28515625" style="67" customWidth="1"/>
    <col min="7689" max="7689" width="8.140625" style="67" customWidth="1"/>
    <col min="7690" max="7690" width="47.28515625" style="67" customWidth="1"/>
    <col min="7691" max="7694" width="12.28515625" style="67" customWidth="1"/>
    <col min="7695" max="7695" width="48.5703125" style="67" customWidth="1"/>
    <col min="7696" max="7698" width="12.28515625" style="67" bestFit="1" customWidth="1"/>
    <col min="7699" max="7938" width="9.140625" style="67"/>
    <col min="7939" max="7939" width="8.140625" style="67" customWidth="1"/>
    <col min="7940" max="7940" width="46.5703125" style="67" customWidth="1"/>
    <col min="7941" max="7944" width="12.28515625" style="67" customWidth="1"/>
    <col min="7945" max="7945" width="8.140625" style="67" customWidth="1"/>
    <col min="7946" max="7946" width="47.28515625" style="67" customWidth="1"/>
    <col min="7947" max="7950" width="12.28515625" style="67" customWidth="1"/>
    <col min="7951" max="7951" width="48.5703125" style="67" customWidth="1"/>
    <col min="7952" max="7954" width="12.28515625" style="67" bestFit="1" customWidth="1"/>
    <col min="7955" max="8194" width="9.140625" style="67"/>
    <col min="8195" max="8195" width="8.140625" style="67" customWidth="1"/>
    <col min="8196" max="8196" width="46.5703125" style="67" customWidth="1"/>
    <col min="8197" max="8200" width="12.28515625" style="67" customWidth="1"/>
    <col min="8201" max="8201" width="8.140625" style="67" customWidth="1"/>
    <col min="8202" max="8202" width="47.28515625" style="67" customWidth="1"/>
    <col min="8203" max="8206" width="12.28515625" style="67" customWidth="1"/>
    <col min="8207" max="8207" width="48.5703125" style="67" customWidth="1"/>
    <col min="8208" max="8210" width="12.28515625" style="67" bestFit="1" customWidth="1"/>
    <col min="8211" max="8450" width="9.140625" style="67"/>
    <col min="8451" max="8451" width="8.140625" style="67" customWidth="1"/>
    <col min="8452" max="8452" width="46.5703125" style="67" customWidth="1"/>
    <col min="8453" max="8456" width="12.28515625" style="67" customWidth="1"/>
    <col min="8457" max="8457" width="8.140625" style="67" customWidth="1"/>
    <col min="8458" max="8458" width="47.28515625" style="67" customWidth="1"/>
    <col min="8459" max="8462" width="12.28515625" style="67" customWidth="1"/>
    <col min="8463" max="8463" width="48.5703125" style="67" customWidth="1"/>
    <col min="8464" max="8466" width="12.28515625" style="67" bestFit="1" customWidth="1"/>
    <col min="8467" max="8706" width="9.140625" style="67"/>
    <col min="8707" max="8707" width="8.140625" style="67" customWidth="1"/>
    <col min="8708" max="8708" width="46.5703125" style="67" customWidth="1"/>
    <col min="8709" max="8712" width="12.28515625" style="67" customWidth="1"/>
    <col min="8713" max="8713" width="8.140625" style="67" customWidth="1"/>
    <col min="8714" max="8714" width="47.28515625" style="67" customWidth="1"/>
    <col min="8715" max="8718" width="12.28515625" style="67" customWidth="1"/>
    <col min="8719" max="8719" width="48.5703125" style="67" customWidth="1"/>
    <col min="8720" max="8722" width="12.28515625" style="67" bestFit="1" customWidth="1"/>
    <col min="8723" max="8962" width="9.140625" style="67"/>
    <col min="8963" max="8963" width="8.140625" style="67" customWidth="1"/>
    <col min="8964" max="8964" width="46.5703125" style="67" customWidth="1"/>
    <col min="8965" max="8968" width="12.28515625" style="67" customWidth="1"/>
    <col min="8969" max="8969" width="8.140625" style="67" customWidth="1"/>
    <col min="8970" max="8970" width="47.28515625" style="67" customWidth="1"/>
    <col min="8971" max="8974" width="12.28515625" style="67" customWidth="1"/>
    <col min="8975" max="8975" width="48.5703125" style="67" customWidth="1"/>
    <col min="8976" max="8978" width="12.28515625" style="67" bestFit="1" customWidth="1"/>
    <col min="8979" max="9218" width="9.140625" style="67"/>
    <col min="9219" max="9219" width="8.140625" style="67" customWidth="1"/>
    <col min="9220" max="9220" width="46.5703125" style="67" customWidth="1"/>
    <col min="9221" max="9224" width="12.28515625" style="67" customWidth="1"/>
    <col min="9225" max="9225" width="8.140625" style="67" customWidth="1"/>
    <col min="9226" max="9226" width="47.28515625" style="67" customWidth="1"/>
    <col min="9227" max="9230" width="12.28515625" style="67" customWidth="1"/>
    <col min="9231" max="9231" width="48.5703125" style="67" customWidth="1"/>
    <col min="9232" max="9234" width="12.28515625" style="67" bestFit="1" customWidth="1"/>
    <col min="9235" max="9474" width="9.140625" style="67"/>
    <col min="9475" max="9475" width="8.140625" style="67" customWidth="1"/>
    <col min="9476" max="9476" width="46.5703125" style="67" customWidth="1"/>
    <col min="9477" max="9480" width="12.28515625" style="67" customWidth="1"/>
    <col min="9481" max="9481" width="8.140625" style="67" customWidth="1"/>
    <col min="9482" max="9482" width="47.28515625" style="67" customWidth="1"/>
    <col min="9483" max="9486" width="12.28515625" style="67" customWidth="1"/>
    <col min="9487" max="9487" width="48.5703125" style="67" customWidth="1"/>
    <col min="9488" max="9490" width="12.28515625" style="67" bestFit="1" customWidth="1"/>
    <col min="9491" max="9730" width="9.140625" style="67"/>
    <col min="9731" max="9731" width="8.140625" style="67" customWidth="1"/>
    <col min="9732" max="9732" width="46.5703125" style="67" customWidth="1"/>
    <col min="9733" max="9736" width="12.28515625" style="67" customWidth="1"/>
    <col min="9737" max="9737" width="8.140625" style="67" customWidth="1"/>
    <col min="9738" max="9738" width="47.28515625" style="67" customWidth="1"/>
    <col min="9739" max="9742" width="12.28515625" style="67" customWidth="1"/>
    <col min="9743" max="9743" width="48.5703125" style="67" customWidth="1"/>
    <col min="9744" max="9746" width="12.28515625" style="67" bestFit="1" customWidth="1"/>
    <col min="9747" max="9986" width="9.140625" style="67"/>
    <col min="9987" max="9987" width="8.140625" style="67" customWidth="1"/>
    <col min="9988" max="9988" width="46.5703125" style="67" customWidth="1"/>
    <col min="9989" max="9992" width="12.28515625" style="67" customWidth="1"/>
    <col min="9993" max="9993" width="8.140625" style="67" customWidth="1"/>
    <col min="9994" max="9994" width="47.28515625" style="67" customWidth="1"/>
    <col min="9995" max="9998" width="12.28515625" style="67" customWidth="1"/>
    <col min="9999" max="9999" width="48.5703125" style="67" customWidth="1"/>
    <col min="10000" max="10002" width="12.28515625" style="67" bestFit="1" customWidth="1"/>
    <col min="10003" max="10242" width="9.140625" style="67"/>
    <col min="10243" max="10243" width="8.140625" style="67" customWidth="1"/>
    <col min="10244" max="10244" width="46.5703125" style="67" customWidth="1"/>
    <col min="10245" max="10248" width="12.28515625" style="67" customWidth="1"/>
    <col min="10249" max="10249" width="8.140625" style="67" customWidth="1"/>
    <col min="10250" max="10250" width="47.28515625" style="67" customWidth="1"/>
    <col min="10251" max="10254" width="12.28515625" style="67" customWidth="1"/>
    <col min="10255" max="10255" width="48.5703125" style="67" customWidth="1"/>
    <col min="10256" max="10258" width="12.28515625" style="67" bestFit="1" customWidth="1"/>
    <col min="10259" max="10498" width="9.140625" style="67"/>
    <col min="10499" max="10499" width="8.140625" style="67" customWidth="1"/>
    <col min="10500" max="10500" width="46.5703125" style="67" customWidth="1"/>
    <col min="10501" max="10504" width="12.28515625" style="67" customWidth="1"/>
    <col min="10505" max="10505" width="8.140625" style="67" customWidth="1"/>
    <col min="10506" max="10506" width="47.28515625" style="67" customWidth="1"/>
    <col min="10507" max="10510" width="12.28515625" style="67" customWidth="1"/>
    <col min="10511" max="10511" width="48.5703125" style="67" customWidth="1"/>
    <col min="10512" max="10514" width="12.28515625" style="67" bestFit="1" customWidth="1"/>
    <col min="10515" max="10754" width="9.140625" style="67"/>
    <col min="10755" max="10755" width="8.140625" style="67" customWidth="1"/>
    <col min="10756" max="10756" width="46.5703125" style="67" customWidth="1"/>
    <col min="10757" max="10760" width="12.28515625" style="67" customWidth="1"/>
    <col min="10761" max="10761" width="8.140625" style="67" customWidth="1"/>
    <col min="10762" max="10762" width="47.28515625" style="67" customWidth="1"/>
    <col min="10763" max="10766" width="12.28515625" style="67" customWidth="1"/>
    <col min="10767" max="10767" width="48.5703125" style="67" customWidth="1"/>
    <col min="10768" max="10770" width="12.28515625" style="67" bestFit="1" customWidth="1"/>
    <col min="10771" max="11010" width="9.140625" style="67"/>
    <col min="11011" max="11011" width="8.140625" style="67" customWidth="1"/>
    <col min="11012" max="11012" width="46.5703125" style="67" customWidth="1"/>
    <col min="11013" max="11016" width="12.28515625" style="67" customWidth="1"/>
    <col min="11017" max="11017" width="8.140625" style="67" customWidth="1"/>
    <col min="11018" max="11018" width="47.28515625" style="67" customWidth="1"/>
    <col min="11019" max="11022" width="12.28515625" style="67" customWidth="1"/>
    <col min="11023" max="11023" width="48.5703125" style="67" customWidth="1"/>
    <col min="11024" max="11026" width="12.28515625" style="67" bestFit="1" customWidth="1"/>
    <col min="11027" max="11266" width="9.140625" style="67"/>
    <col min="11267" max="11267" width="8.140625" style="67" customWidth="1"/>
    <col min="11268" max="11268" width="46.5703125" style="67" customWidth="1"/>
    <col min="11269" max="11272" width="12.28515625" style="67" customWidth="1"/>
    <col min="11273" max="11273" width="8.140625" style="67" customWidth="1"/>
    <col min="11274" max="11274" width="47.28515625" style="67" customWidth="1"/>
    <col min="11275" max="11278" width="12.28515625" style="67" customWidth="1"/>
    <col min="11279" max="11279" width="48.5703125" style="67" customWidth="1"/>
    <col min="11280" max="11282" width="12.28515625" style="67" bestFit="1" customWidth="1"/>
    <col min="11283" max="11522" width="9.140625" style="67"/>
    <col min="11523" max="11523" width="8.140625" style="67" customWidth="1"/>
    <col min="11524" max="11524" width="46.5703125" style="67" customWidth="1"/>
    <col min="11525" max="11528" width="12.28515625" style="67" customWidth="1"/>
    <col min="11529" max="11529" width="8.140625" style="67" customWidth="1"/>
    <col min="11530" max="11530" width="47.28515625" style="67" customWidth="1"/>
    <col min="11531" max="11534" width="12.28515625" style="67" customWidth="1"/>
    <col min="11535" max="11535" width="48.5703125" style="67" customWidth="1"/>
    <col min="11536" max="11538" width="12.28515625" style="67" bestFit="1" customWidth="1"/>
    <col min="11539" max="11778" width="9.140625" style="67"/>
    <col min="11779" max="11779" width="8.140625" style="67" customWidth="1"/>
    <col min="11780" max="11780" width="46.5703125" style="67" customWidth="1"/>
    <col min="11781" max="11784" width="12.28515625" style="67" customWidth="1"/>
    <col min="11785" max="11785" width="8.140625" style="67" customWidth="1"/>
    <col min="11786" max="11786" width="47.28515625" style="67" customWidth="1"/>
    <col min="11787" max="11790" width="12.28515625" style="67" customWidth="1"/>
    <col min="11791" max="11791" width="48.5703125" style="67" customWidth="1"/>
    <col min="11792" max="11794" width="12.28515625" style="67" bestFit="1" customWidth="1"/>
    <col min="11795" max="12034" width="9.140625" style="67"/>
    <col min="12035" max="12035" width="8.140625" style="67" customWidth="1"/>
    <col min="12036" max="12036" width="46.5703125" style="67" customWidth="1"/>
    <col min="12037" max="12040" width="12.28515625" style="67" customWidth="1"/>
    <col min="12041" max="12041" width="8.140625" style="67" customWidth="1"/>
    <col min="12042" max="12042" width="47.28515625" style="67" customWidth="1"/>
    <col min="12043" max="12046" width="12.28515625" style="67" customWidth="1"/>
    <col min="12047" max="12047" width="48.5703125" style="67" customWidth="1"/>
    <col min="12048" max="12050" width="12.28515625" style="67" bestFit="1" customWidth="1"/>
    <col min="12051" max="12290" width="9.140625" style="67"/>
    <col min="12291" max="12291" width="8.140625" style="67" customWidth="1"/>
    <col min="12292" max="12292" width="46.5703125" style="67" customWidth="1"/>
    <col min="12293" max="12296" width="12.28515625" style="67" customWidth="1"/>
    <col min="12297" max="12297" width="8.140625" style="67" customWidth="1"/>
    <col min="12298" max="12298" width="47.28515625" style="67" customWidth="1"/>
    <col min="12299" max="12302" width="12.28515625" style="67" customWidth="1"/>
    <col min="12303" max="12303" width="48.5703125" style="67" customWidth="1"/>
    <col min="12304" max="12306" width="12.28515625" style="67" bestFit="1" customWidth="1"/>
    <col min="12307" max="12546" width="9.140625" style="67"/>
    <col min="12547" max="12547" width="8.140625" style="67" customWidth="1"/>
    <col min="12548" max="12548" width="46.5703125" style="67" customWidth="1"/>
    <col min="12549" max="12552" width="12.28515625" style="67" customWidth="1"/>
    <col min="12553" max="12553" width="8.140625" style="67" customWidth="1"/>
    <col min="12554" max="12554" width="47.28515625" style="67" customWidth="1"/>
    <col min="12555" max="12558" width="12.28515625" style="67" customWidth="1"/>
    <col min="12559" max="12559" width="48.5703125" style="67" customWidth="1"/>
    <col min="12560" max="12562" width="12.28515625" style="67" bestFit="1" customWidth="1"/>
    <col min="12563" max="12802" width="9.140625" style="67"/>
    <col min="12803" max="12803" width="8.140625" style="67" customWidth="1"/>
    <col min="12804" max="12804" width="46.5703125" style="67" customWidth="1"/>
    <col min="12805" max="12808" width="12.28515625" style="67" customWidth="1"/>
    <col min="12809" max="12809" width="8.140625" style="67" customWidth="1"/>
    <col min="12810" max="12810" width="47.28515625" style="67" customWidth="1"/>
    <col min="12811" max="12814" width="12.28515625" style="67" customWidth="1"/>
    <col min="12815" max="12815" width="48.5703125" style="67" customWidth="1"/>
    <col min="12816" max="12818" width="12.28515625" style="67" bestFit="1" customWidth="1"/>
    <col min="12819" max="13058" width="9.140625" style="67"/>
    <col min="13059" max="13059" width="8.140625" style="67" customWidth="1"/>
    <col min="13060" max="13060" width="46.5703125" style="67" customWidth="1"/>
    <col min="13061" max="13064" width="12.28515625" style="67" customWidth="1"/>
    <col min="13065" max="13065" width="8.140625" style="67" customWidth="1"/>
    <col min="13066" max="13066" width="47.28515625" style="67" customWidth="1"/>
    <col min="13067" max="13070" width="12.28515625" style="67" customWidth="1"/>
    <col min="13071" max="13071" width="48.5703125" style="67" customWidth="1"/>
    <col min="13072" max="13074" width="12.28515625" style="67" bestFit="1" customWidth="1"/>
    <col min="13075" max="13314" width="9.140625" style="67"/>
    <col min="13315" max="13315" width="8.140625" style="67" customWidth="1"/>
    <col min="13316" max="13316" width="46.5703125" style="67" customWidth="1"/>
    <col min="13317" max="13320" width="12.28515625" style="67" customWidth="1"/>
    <col min="13321" max="13321" width="8.140625" style="67" customWidth="1"/>
    <col min="13322" max="13322" width="47.28515625" style="67" customWidth="1"/>
    <col min="13323" max="13326" width="12.28515625" style="67" customWidth="1"/>
    <col min="13327" max="13327" width="48.5703125" style="67" customWidth="1"/>
    <col min="13328" max="13330" width="12.28515625" style="67" bestFit="1" customWidth="1"/>
    <col min="13331" max="13570" width="9.140625" style="67"/>
    <col min="13571" max="13571" width="8.140625" style="67" customWidth="1"/>
    <col min="13572" max="13572" width="46.5703125" style="67" customWidth="1"/>
    <col min="13573" max="13576" width="12.28515625" style="67" customWidth="1"/>
    <col min="13577" max="13577" width="8.140625" style="67" customWidth="1"/>
    <col min="13578" max="13578" width="47.28515625" style="67" customWidth="1"/>
    <col min="13579" max="13582" width="12.28515625" style="67" customWidth="1"/>
    <col min="13583" max="13583" width="48.5703125" style="67" customWidth="1"/>
    <col min="13584" max="13586" width="12.28515625" style="67" bestFit="1" customWidth="1"/>
    <col min="13587" max="13826" width="9.140625" style="67"/>
    <col min="13827" max="13827" width="8.140625" style="67" customWidth="1"/>
    <col min="13828" max="13828" width="46.5703125" style="67" customWidth="1"/>
    <col min="13829" max="13832" width="12.28515625" style="67" customWidth="1"/>
    <col min="13833" max="13833" width="8.140625" style="67" customWidth="1"/>
    <col min="13834" max="13834" width="47.28515625" style="67" customWidth="1"/>
    <col min="13835" max="13838" width="12.28515625" style="67" customWidth="1"/>
    <col min="13839" max="13839" width="48.5703125" style="67" customWidth="1"/>
    <col min="13840" max="13842" width="12.28515625" style="67" bestFit="1" customWidth="1"/>
    <col min="13843" max="14082" width="9.140625" style="67"/>
    <col min="14083" max="14083" width="8.140625" style="67" customWidth="1"/>
    <col min="14084" max="14084" width="46.5703125" style="67" customWidth="1"/>
    <col min="14085" max="14088" width="12.28515625" style="67" customWidth="1"/>
    <col min="14089" max="14089" width="8.140625" style="67" customWidth="1"/>
    <col min="14090" max="14090" width="47.28515625" style="67" customWidth="1"/>
    <col min="14091" max="14094" width="12.28515625" style="67" customWidth="1"/>
    <col min="14095" max="14095" width="48.5703125" style="67" customWidth="1"/>
    <col min="14096" max="14098" width="12.28515625" style="67" bestFit="1" customWidth="1"/>
    <col min="14099" max="14338" width="9.140625" style="67"/>
    <col min="14339" max="14339" width="8.140625" style="67" customWidth="1"/>
    <col min="14340" max="14340" width="46.5703125" style="67" customWidth="1"/>
    <col min="14341" max="14344" width="12.28515625" style="67" customWidth="1"/>
    <col min="14345" max="14345" width="8.140625" style="67" customWidth="1"/>
    <col min="14346" max="14346" width="47.28515625" style="67" customWidth="1"/>
    <col min="14347" max="14350" width="12.28515625" style="67" customWidth="1"/>
    <col min="14351" max="14351" width="48.5703125" style="67" customWidth="1"/>
    <col min="14352" max="14354" width="12.28515625" style="67" bestFit="1" customWidth="1"/>
    <col min="14355" max="14594" width="9.140625" style="67"/>
    <col min="14595" max="14595" width="8.140625" style="67" customWidth="1"/>
    <col min="14596" max="14596" width="46.5703125" style="67" customWidth="1"/>
    <col min="14597" max="14600" width="12.28515625" style="67" customWidth="1"/>
    <col min="14601" max="14601" width="8.140625" style="67" customWidth="1"/>
    <col min="14602" max="14602" width="47.28515625" style="67" customWidth="1"/>
    <col min="14603" max="14606" width="12.28515625" style="67" customWidth="1"/>
    <col min="14607" max="14607" width="48.5703125" style="67" customWidth="1"/>
    <col min="14608" max="14610" width="12.28515625" style="67" bestFit="1" customWidth="1"/>
    <col min="14611" max="14850" width="9.140625" style="67"/>
    <col min="14851" max="14851" width="8.140625" style="67" customWidth="1"/>
    <col min="14852" max="14852" width="46.5703125" style="67" customWidth="1"/>
    <col min="14853" max="14856" width="12.28515625" style="67" customWidth="1"/>
    <col min="14857" max="14857" width="8.140625" style="67" customWidth="1"/>
    <col min="14858" max="14858" width="47.28515625" style="67" customWidth="1"/>
    <col min="14859" max="14862" width="12.28515625" style="67" customWidth="1"/>
    <col min="14863" max="14863" width="48.5703125" style="67" customWidth="1"/>
    <col min="14864" max="14866" width="12.28515625" style="67" bestFit="1" customWidth="1"/>
    <col min="14867" max="15106" width="9.140625" style="67"/>
    <col min="15107" max="15107" width="8.140625" style="67" customWidth="1"/>
    <col min="15108" max="15108" width="46.5703125" style="67" customWidth="1"/>
    <col min="15109" max="15112" width="12.28515625" style="67" customWidth="1"/>
    <col min="15113" max="15113" width="8.140625" style="67" customWidth="1"/>
    <col min="15114" max="15114" width="47.28515625" style="67" customWidth="1"/>
    <col min="15115" max="15118" width="12.28515625" style="67" customWidth="1"/>
    <col min="15119" max="15119" width="48.5703125" style="67" customWidth="1"/>
    <col min="15120" max="15122" width="12.28515625" style="67" bestFit="1" customWidth="1"/>
    <col min="15123" max="15362" width="9.140625" style="67"/>
    <col min="15363" max="15363" width="8.140625" style="67" customWidth="1"/>
    <col min="15364" max="15364" width="46.5703125" style="67" customWidth="1"/>
    <col min="15365" max="15368" width="12.28515625" style="67" customWidth="1"/>
    <col min="15369" max="15369" width="8.140625" style="67" customWidth="1"/>
    <col min="15370" max="15370" width="47.28515625" style="67" customWidth="1"/>
    <col min="15371" max="15374" width="12.28515625" style="67" customWidth="1"/>
    <col min="15375" max="15375" width="48.5703125" style="67" customWidth="1"/>
    <col min="15376" max="15378" width="12.28515625" style="67" bestFit="1" customWidth="1"/>
    <col min="15379" max="15618" width="9.140625" style="67"/>
    <col min="15619" max="15619" width="8.140625" style="67" customWidth="1"/>
    <col min="15620" max="15620" width="46.5703125" style="67" customWidth="1"/>
    <col min="15621" max="15624" width="12.28515625" style="67" customWidth="1"/>
    <col min="15625" max="15625" width="8.140625" style="67" customWidth="1"/>
    <col min="15626" max="15626" width="47.28515625" style="67" customWidth="1"/>
    <col min="15627" max="15630" width="12.28515625" style="67" customWidth="1"/>
    <col min="15631" max="15631" width="48.5703125" style="67" customWidth="1"/>
    <col min="15632" max="15634" width="12.28515625" style="67" bestFit="1" customWidth="1"/>
    <col min="15635" max="15874" width="9.140625" style="67"/>
    <col min="15875" max="15875" width="8.140625" style="67" customWidth="1"/>
    <col min="15876" max="15876" width="46.5703125" style="67" customWidth="1"/>
    <col min="15877" max="15880" width="12.28515625" style="67" customWidth="1"/>
    <col min="15881" max="15881" width="8.140625" style="67" customWidth="1"/>
    <col min="15882" max="15882" width="47.28515625" style="67" customWidth="1"/>
    <col min="15883" max="15886" width="12.28515625" style="67" customWidth="1"/>
    <col min="15887" max="15887" width="48.5703125" style="67" customWidth="1"/>
    <col min="15888" max="15890" width="12.28515625" style="67" bestFit="1" customWidth="1"/>
    <col min="15891" max="16130" width="9.140625" style="67"/>
    <col min="16131" max="16131" width="8.140625" style="67" customWidth="1"/>
    <col min="16132" max="16132" width="46.5703125" style="67" customWidth="1"/>
    <col min="16133" max="16136" width="12.28515625" style="67" customWidth="1"/>
    <col min="16137" max="16137" width="8.140625" style="67" customWidth="1"/>
    <col min="16138" max="16138" width="47.28515625" style="67" customWidth="1"/>
    <col min="16139" max="16142" width="12.28515625" style="67" customWidth="1"/>
    <col min="16143" max="16143" width="48.5703125" style="67" customWidth="1"/>
    <col min="16144" max="16146" width="12.28515625" style="67" bestFit="1" customWidth="1"/>
    <col min="16147" max="16384" width="9.140625" style="67"/>
  </cols>
  <sheetData>
    <row r="1" spans="1:18" ht="27" customHeight="1" x14ac:dyDescent="0.3">
      <c r="A1" s="79"/>
      <c r="B1" s="79"/>
      <c r="C1" s="79"/>
      <c r="D1" s="79"/>
      <c r="E1" s="79"/>
      <c r="F1" s="79"/>
      <c r="G1" s="277" t="s">
        <v>1309</v>
      </c>
      <c r="H1" s="277"/>
      <c r="I1" s="277"/>
      <c r="J1" s="277"/>
      <c r="K1" s="277"/>
      <c r="L1" s="277"/>
      <c r="M1" s="30"/>
      <c r="N1" s="30"/>
      <c r="O1" s="21"/>
      <c r="P1" s="22"/>
    </row>
    <row r="2" spans="1:18" ht="48" customHeight="1" x14ac:dyDescent="0.25">
      <c r="A2" s="79"/>
      <c r="B2" s="79"/>
      <c r="C2" s="79"/>
      <c r="D2" s="79"/>
      <c r="E2" s="79"/>
      <c r="F2" s="79"/>
      <c r="G2" s="278" t="s">
        <v>1142</v>
      </c>
      <c r="H2" s="279"/>
      <c r="I2" s="279"/>
      <c r="J2" s="279"/>
      <c r="K2" s="279"/>
      <c r="L2" s="279"/>
      <c r="M2" s="279"/>
      <c r="N2" s="279"/>
      <c r="O2" s="279"/>
      <c r="P2" s="279"/>
    </row>
    <row r="3" spans="1:18" ht="24.75" customHeight="1" x14ac:dyDescent="0.25">
      <c r="A3" s="79"/>
      <c r="B3" s="79"/>
      <c r="C3" s="79"/>
      <c r="D3" s="79"/>
      <c r="E3" s="79"/>
      <c r="F3" s="79"/>
      <c r="G3" s="280" t="s">
        <v>1310</v>
      </c>
      <c r="H3" s="280"/>
      <c r="I3" s="280"/>
      <c r="J3" s="280"/>
      <c r="K3" s="280"/>
      <c r="L3" s="280"/>
      <c r="M3" s="80"/>
      <c r="N3" s="80"/>
      <c r="O3" s="31"/>
      <c r="P3" s="31"/>
    </row>
    <row r="4" spans="1:18" ht="24.75" customHeight="1" x14ac:dyDescent="0.25">
      <c r="A4" s="81"/>
      <c r="B4" s="81"/>
      <c r="C4" s="81"/>
      <c r="D4" s="81"/>
      <c r="E4" s="81"/>
      <c r="F4" s="81"/>
      <c r="I4" s="67"/>
      <c r="J4" s="281" t="s">
        <v>962</v>
      </c>
      <c r="K4" s="281"/>
      <c r="L4" s="281"/>
      <c r="M4" s="46"/>
      <c r="N4" s="46"/>
    </row>
    <row r="5" spans="1:18" ht="25.5" customHeight="1" x14ac:dyDescent="0.25">
      <c r="A5" s="282" t="s">
        <v>0</v>
      </c>
      <c r="B5" s="282" t="s">
        <v>1</v>
      </c>
      <c r="C5" s="282" t="s">
        <v>2</v>
      </c>
      <c r="D5" s="282"/>
      <c r="E5" s="282"/>
      <c r="F5" s="282"/>
      <c r="G5" s="282" t="s">
        <v>0</v>
      </c>
      <c r="H5" s="282" t="s">
        <v>1</v>
      </c>
      <c r="I5" s="282" t="s">
        <v>1135</v>
      </c>
      <c r="J5" s="282"/>
      <c r="K5" s="282"/>
      <c r="L5" s="282"/>
      <c r="M5" s="83"/>
      <c r="N5" s="83"/>
      <c r="P5" s="67" t="s">
        <v>3</v>
      </c>
      <c r="Q5" s="67" t="s">
        <v>4</v>
      </c>
      <c r="R5" s="67" t="s">
        <v>5</v>
      </c>
    </row>
    <row r="6" spans="1:18" ht="25.5" customHeight="1" x14ac:dyDescent="0.25">
      <c r="A6" s="282"/>
      <c r="B6" s="282"/>
      <c r="C6" s="82" t="s">
        <v>6</v>
      </c>
      <c r="D6" s="82" t="s">
        <v>3</v>
      </c>
      <c r="E6" s="82" t="s">
        <v>7</v>
      </c>
      <c r="F6" s="82" t="s">
        <v>8</v>
      </c>
      <c r="G6" s="282"/>
      <c r="H6" s="282"/>
      <c r="I6" s="82" t="s">
        <v>6</v>
      </c>
      <c r="J6" s="82" t="s">
        <v>3</v>
      </c>
      <c r="K6" s="82" t="s">
        <v>7</v>
      </c>
      <c r="L6" s="82" t="s">
        <v>8</v>
      </c>
      <c r="M6" s="83">
        <v>1.1599999999999999</v>
      </c>
      <c r="N6" s="83"/>
    </row>
    <row r="7" spans="1:18" ht="27.75" customHeight="1" x14ac:dyDescent="0.25">
      <c r="A7" s="71" t="s">
        <v>9</v>
      </c>
      <c r="B7" s="69" t="s">
        <v>10</v>
      </c>
      <c r="C7" s="63"/>
      <c r="D7" s="63"/>
      <c r="E7" s="63"/>
      <c r="F7" s="63"/>
      <c r="G7" s="71" t="s">
        <v>9</v>
      </c>
      <c r="H7" s="69" t="s">
        <v>10</v>
      </c>
      <c r="I7" s="65"/>
      <c r="J7" s="65"/>
      <c r="K7" s="65"/>
      <c r="L7" s="65"/>
      <c r="M7" s="66"/>
      <c r="N7" s="66"/>
    </row>
    <row r="8" spans="1:18" ht="27.75" customHeight="1" x14ac:dyDescent="0.25">
      <c r="A8" s="61">
        <v>1</v>
      </c>
      <c r="B8" s="62" t="s">
        <v>11</v>
      </c>
      <c r="C8" s="63"/>
      <c r="D8" s="63"/>
      <c r="E8" s="63"/>
      <c r="F8" s="63"/>
      <c r="G8" s="61">
        <v>1</v>
      </c>
      <c r="H8" s="62" t="s">
        <v>11</v>
      </c>
      <c r="I8" s="64"/>
      <c r="J8" s="64"/>
      <c r="K8" s="65"/>
      <c r="L8" s="65"/>
      <c r="M8" s="66"/>
      <c r="N8" s="66"/>
    </row>
    <row r="9" spans="1:18" ht="34.5" customHeight="1" x14ac:dyDescent="0.25">
      <c r="A9" s="61" t="s">
        <v>12</v>
      </c>
      <c r="B9" s="62" t="s">
        <v>13</v>
      </c>
      <c r="C9" s="63">
        <v>900</v>
      </c>
      <c r="D9" s="63">
        <v>600</v>
      </c>
      <c r="E9" s="63">
        <v>400</v>
      </c>
      <c r="F9" s="63">
        <v>300</v>
      </c>
      <c r="G9" s="61" t="s">
        <v>12</v>
      </c>
      <c r="H9" s="62" t="s">
        <v>13</v>
      </c>
      <c r="I9" s="262">
        <f>C9*$M$6</f>
        <v>1044</v>
      </c>
      <c r="J9" s="262">
        <f>D9*$M$6</f>
        <v>696</v>
      </c>
      <c r="K9" s="262">
        <f>E9*$M$6</f>
        <v>463.99999999999994</v>
      </c>
      <c r="L9" s="262">
        <f>F9*$M$6</f>
        <v>348</v>
      </c>
      <c r="M9" s="68"/>
      <c r="N9" s="68"/>
    </row>
    <row r="10" spans="1:18" ht="34.5" customHeight="1" x14ac:dyDescent="0.25">
      <c r="A10" s="61" t="s">
        <v>14</v>
      </c>
      <c r="B10" s="62" t="s">
        <v>15</v>
      </c>
      <c r="C10" s="63">
        <v>700</v>
      </c>
      <c r="D10" s="63">
        <f>+ROUND(C10*0.7,-2)</f>
        <v>500</v>
      </c>
      <c r="E10" s="63">
        <f>+ROUND(C10*0.4,-2)</f>
        <v>300</v>
      </c>
      <c r="F10" s="63">
        <f>+ROUND(C10*0.3,-2)</f>
        <v>200</v>
      </c>
      <c r="G10" s="61" t="s">
        <v>14</v>
      </c>
      <c r="H10" s="62" t="s">
        <v>15</v>
      </c>
      <c r="I10" s="262">
        <f t="shared" ref="I10:L12" si="0">C10*$M$6</f>
        <v>812</v>
      </c>
      <c r="J10" s="262">
        <f t="shared" si="0"/>
        <v>580</v>
      </c>
      <c r="K10" s="262">
        <f t="shared" si="0"/>
        <v>348</v>
      </c>
      <c r="L10" s="262">
        <f t="shared" si="0"/>
        <v>231.99999999999997</v>
      </c>
      <c r="M10" s="68"/>
      <c r="N10" s="68"/>
    </row>
    <row r="11" spans="1:18" ht="46.5" customHeight="1" x14ac:dyDescent="0.25">
      <c r="A11" s="61">
        <v>2</v>
      </c>
      <c r="B11" s="69" t="s">
        <v>1143</v>
      </c>
      <c r="C11" s="63">
        <v>600</v>
      </c>
      <c r="D11" s="63">
        <f>+ROUND(C11*0.7,-2)</f>
        <v>400</v>
      </c>
      <c r="E11" s="63">
        <f>+ROUND(C11*0.45,-2)</f>
        <v>300</v>
      </c>
      <c r="F11" s="63">
        <f>+ROUND(C11*0.3,-2)</f>
        <v>200</v>
      </c>
      <c r="G11" s="61">
        <v>2</v>
      </c>
      <c r="H11" s="69" t="s">
        <v>1143</v>
      </c>
      <c r="I11" s="262">
        <f t="shared" si="0"/>
        <v>696</v>
      </c>
      <c r="J11" s="262">
        <f t="shared" si="0"/>
        <v>463.99999999999994</v>
      </c>
      <c r="K11" s="262">
        <f t="shared" si="0"/>
        <v>348</v>
      </c>
      <c r="L11" s="262">
        <f t="shared" si="0"/>
        <v>231.99999999999997</v>
      </c>
      <c r="M11" s="68"/>
      <c r="N11" s="68"/>
    </row>
    <row r="12" spans="1:18" ht="45" customHeight="1" x14ac:dyDescent="0.25">
      <c r="A12" s="61">
        <v>3</v>
      </c>
      <c r="B12" s="69" t="s">
        <v>1144</v>
      </c>
      <c r="C12" s="63">
        <v>400</v>
      </c>
      <c r="D12" s="63">
        <f>+ROUND(C12*0.7,-2)</f>
        <v>300</v>
      </c>
      <c r="E12" s="63">
        <f>+ROUND(C12*0.4,-2)</f>
        <v>200</v>
      </c>
      <c r="F12" s="63">
        <f>+ROUND(C12*0.3,-2)</f>
        <v>100</v>
      </c>
      <c r="G12" s="61">
        <v>3</v>
      </c>
      <c r="H12" s="69" t="s">
        <v>1144</v>
      </c>
      <c r="I12" s="262">
        <f t="shared" si="0"/>
        <v>463.99999999999994</v>
      </c>
      <c r="J12" s="262">
        <f t="shared" si="0"/>
        <v>348</v>
      </c>
      <c r="K12" s="262">
        <f t="shared" si="0"/>
        <v>231.99999999999997</v>
      </c>
      <c r="L12" s="262">
        <f t="shared" si="0"/>
        <v>115.99999999999999</v>
      </c>
      <c r="M12" s="68"/>
      <c r="N12" s="68"/>
    </row>
    <row r="13" spans="1:18" ht="33" customHeight="1" x14ac:dyDescent="0.25">
      <c r="A13" s="61">
        <v>4</v>
      </c>
      <c r="B13" s="69" t="s">
        <v>16</v>
      </c>
      <c r="C13" s="63"/>
      <c r="D13" s="63"/>
      <c r="E13" s="63"/>
      <c r="F13" s="63"/>
      <c r="G13" s="61">
        <v>4</v>
      </c>
      <c r="H13" s="69" t="s">
        <v>16</v>
      </c>
      <c r="I13" s="262"/>
      <c r="J13" s="262"/>
      <c r="K13" s="262"/>
      <c r="L13" s="262"/>
      <c r="M13" s="68"/>
      <c r="N13" s="68"/>
    </row>
    <row r="14" spans="1:18" ht="65.25" customHeight="1" x14ac:dyDescent="0.25">
      <c r="A14" s="61" t="s">
        <v>17</v>
      </c>
      <c r="B14" s="62" t="s">
        <v>18</v>
      </c>
      <c r="C14" s="63">
        <v>5000</v>
      </c>
      <c r="D14" s="63">
        <f>+ROUND(C14*0.5,-2)</f>
        <v>2500</v>
      </c>
      <c r="E14" s="63">
        <f>+ROUND(C14*0.3,-2)</f>
        <v>1500</v>
      </c>
      <c r="F14" s="63">
        <f>+ROUND(C14*0.2,-2)</f>
        <v>1000</v>
      </c>
      <c r="G14" s="61" t="s">
        <v>17</v>
      </c>
      <c r="H14" s="62" t="s">
        <v>18</v>
      </c>
      <c r="I14" s="262">
        <f>C14*1.16</f>
        <v>5800</v>
      </c>
      <c r="J14" s="262">
        <f t="shared" ref="J14:L14" si="1">D14*1.16</f>
        <v>2900</v>
      </c>
      <c r="K14" s="262">
        <f t="shared" si="1"/>
        <v>1739.9999999999998</v>
      </c>
      <c r="L14" s="262">
        <f t="shared" si="1"/>
        <v>1160</v>
      </c>
      <c r="M14" s="68"/>
      <c r="N14" s="68"/>
      <c r="O14" s="66" t="s">
        <v>19</v>
      </c>
    </row>
    <row r="15" spans="1:18" ht="63.6" customHeight="1" x14ac:dyDescent="0.25">
      <c r="A15" s="61" t="s">
        <v>20</v>
      </c>
      <c r="B15" s="62" t="s">
        <v>21</v>
      </c>
      <c r="C15" s="63">
        <v>3000</v>
      </c>
      <c r="D15" s="63">
        <f>+ROUND(C15*0.5,-2)</f>
        <v>1500</v>
      </c>
      <c r="E15" s="63">
        <f>+ROUND(C15*0.3,-2)</f>
        <v>900</v>
      </c>
      <c r="F15" s="63">
        <f>+ROUND(C15*0.2,-2)</f>
        <v>600</v>
      </c>
      <c r="G15" s="61" t="s">
        <v>20</v>
      </c>
      <c r="H15" s="62" t="s">
        <v>21</v>
      </c>
      <c r="I15" s="262">
        <v>3320</v>
      </c>
      <c r="J15" s="262">
        <f t="shared" ref="J15:L15" si="2">D15*1.1</f>
        <v>1650.0000000000002</v>
      </c>
      <c r="K15" s="262">
        <f t="shared" si="2"/>
        <v>990.00000000000011</v>
      </c>
      <c r="L15" s="262">
        <f t="shared" si="2"/>
        <v>660</v>
      </c>
      <c r="M15" s="70">
        <f>I15/C15</f>
        <v>1.1066666666666667</v>
      </c>
      <c r="N15" s="70"/>
      <c r="O15" s="66" t="s">
        <v>1006</v>
      </c>
    </row>
    <row r="16" spans="1:18" ht="48" customHeight="1" x14ac:dyDescent="0.25">
      <c r="A16" s="71">
        <v>5</v>
      </c>
      <c r="B16" s="69" t="s">
        <v>22</v>
      </c>
      <c r="C16" s="63">
        <v>2800</v>
      </c>
      <c r="D16" s="63">
        <f>+ROUND(C16*0.5,-2)</f>
        <v>1400</v>
      </c>
      <c r="E16" s="63">
        <f>+ROUND(C16*0.3,-2)</f>
        <v>800</v>
      </c>
      <c r="F16" s="63">
        <f>+ROUND(C16*0.2,-2)</f>
        <v>600</v>
      </c>
      <c r="G16" s="61">
        <v>5</v>
      </c>
      <c r="H16" s="69" t="s">
        <v>22</v>
      </c>
      <c r="I16" s="262">
        <f>C16*$M$6</f>
        <v>3248</v>
      </c>
      <c r="J16" s="262">
        <f t="shared" ref="J16:L17" si="3">D16*$M$6</f>
        <v>1624</v>
      </c>
      <c r="K16" s="262">
        <f t="shared" si="3"/>
        <v>927.99999999999989</v>
      </c>
      <c r="L16" s="262">
        <f t="shared" si="3"/>
        <v>696</v>
      </c>
      <c r="M16" s="68"/>
      <c r="N16" s="68"/>
      <c r="O16" s="66" t="s">
        <v>19</v>
      </c>
    </row>
    <row r="17" spans="1:18" ht="55.15" customHeight="1" x14ac:dyDescent="0.25">
      <c r="A17" s="71">
        <v>6</v>
      </c>
      <c r="B17" s="69" t="s">
        <v>23</v>
      </c>
      <c r="C17" s="63">
        <v>2800</v>
      </c>
      <c r="D17" s="63">
        <f>+ROUND(C17*0.5,-2)</f>
        <v>1400</v>
      </c>
      <c r="E17" s="63">
        <f>+ROUND(C17*0.3,-2)</f>
        <v>800</v>
      </c>
      <c r="F17" s="63">
        <f>+ROUND(C17*0.2,-2)</f>
        <v>600</v>
      </c>
      <c r="G17" s="61">
        <v>6</v>
      </c>
      <c r="H17" s="69" t="s">
        <v>23</v>
      </c>
      <c r="I17" s="262">
        <f>C17*$M$6</f>
        <v>3248</v>
      </c>
      <c r="J17" s="262">
        <f>D17*$M$6</f>
        <v>1624</v>
      </c>
      <c r="K17" s="262">
        <f t="shared" si="3"/>
        <v>927.99999999999989</v>
      </c>
      <c r="L17" s="262">
        <f t="shared" si="3"/>
        <v>696</v>
      </c>
      <c r="M17" s="68"/>
      <c r="N17" s="68"/>
      <c r="O17" s="66" t="s">
        <v>19</v>
      </c>
    </row>
    <row r="18" spans="1:18" ht="40.15" customHeight="1" x14ac:dyDescent="0.25">
      <c r="A18" s="61">
        <v>7</v>
      </c>
      <c r="B18" s="62" t="s">
        <v>24</v>
      </c>
      <c r="C18" s="63">
        <v>3200</v>
      </c>
      <c r="D18" s="63">
        <f>+ROUND(C18*0.7,-2)</f>
        <v>2200</v>
      </c>
      <c r="E18" s="63">
        <f>+ROUND(C18*0.5,-2)</f>
        <v>1600</v>
      </c>
      <c r="F18" s="63">
        <f>+ROUND(C18*0.3,-2)</f>
        <v>1000</v>
      </c>
      <c r="G18" s="61">
        <v>7</v>
      </c>
      <c r="H18" s="62" t="s">
        <v>24</v>
      </c>
      <c r="I18" s="262">
        <f>C18*$M$6</f>
        <v>3711.9999999999995</v>
      </c>
      <c r="J18" s="262">
        <f>D18*$M$6</f>
        <v>2552</v>
      </c>
      <c r="K18" s="262">
        <f>E18*$M$6</f>
        <v>1855.9999999999998</v>
      </c>
      <c r="L18" s="262">
        <f>F18*$M$6</f>
        <v>1160</v>
      </c>
      <c r="M18" s="68"/>
      <c r="N18" s="68"/>
      <c r="O18" s="66" t="s">
        <v>25</v>
      </c>
    </row>
    <row r="19" spans="1:18" ht="25.15" customHeight="1" x14ac:dyDescent="0.25">
      <c r="A19" s="72">
        <v>8</v>
      </c>
      <c r="B19" s="48" t="s">
        <v>26</v>
      </c>
      <c r="C19" s="63"/>
      <c r="D19" s="63"/>
      <c r="E19" s="63"/>
      <c r="F19" s="63"/>
      <c r="G19" s="73">
        <v>8</v>
      </c>
      <c r="H19" s="48" t="s">
        <v>26</v>
      </c>
      <c r="I19" s="262"/>
      <c r="J19" s="262"/>
      <c r="K19" s="262"/>
      <c r="L19" s="262"/>
      <c r="M19" s="68"/>
      <c r="N19" s="68"/>
      <c r="O19" s="66" t="s">
        <v>25</v>
      </c>
    </row>
    <row r="20" spans="1:18" ht="48" customHeight="1" x14ac:dyDescent="0.25">
      <c r="A20" s="73" t="s">
        <v>27</v>
      </c>
      <c r="B20" s="56" t="s">
        <v>28</v>
      </c>
      <c r="C20" s="63">
        <v>1000</v>
      </c>
      <c r="D20" s="63">
        <f>+ROUND(C20*0.7,-2)</f>
        <v>700</v>
      </c>
      <c r="E20" s="63">
        <f>+ROUND(C20*0.5,-2)</f>
        <v>500</v>
      </c>
      <c r="F20" s="63">
        <f>+ROUND(C20*0.3,-2)</f>
        <v>300</v>
      </c>
      <c r="G20" s="73" t="s">
        <v>27</v>
      </c>
      <c r="H20" s="56" t="s">
        <v>28</v>
      </c>
      <c r="I20" s="262">
        <v>1180</v>
      </c>
      <c r="J20" s="262">
        <f>D20*1.18</f>
        <v>826</v>
      </c>
      <c r="K20" s="262">
        <f>E20*1.18</f>
        <v>590</v>
      </c>
      <c r="L20" s="262">
        <f>F20*1.17</f>
        <v>351</v>
      </c>
      <c r="M20" s="70">
        <f>I20/C20</f>
        <v>1.18</v>
      </c>
      <c r="N20" s="70"/>
      <c r="O20" s="66" t="s">
        <v>1007</v>
      </c>
      <c r="P20" s="74">
        <f>(M20+M21+M15)/3</f>
        <v>1.1602614379084966</v>
      </c>
    </row>
    <row r="21" spans="1:18" ht="43.5" customHeight="1" x14ac:dyDescent="0.25">
      <c r="A21" s="61" t="s">
        <v>29</v>
      </c>
      <c r="B21" s="62" t="s">
        <v>30</v>
      </c>
      <c r="C21" s="63">
        <v>850</v>
      </c>
      <c r="D21" s="63">
        <f>+ROUND(C21*0.7,-2)</f>
        <v>600</v>
      </c>
      <c r="E21" s="63">
        <f>+ROUND(C21*0.5,-2)</f>
        <v>400</v>
      </c>
      <c r="F21" s="63">
        <f>+ROUND(C21*0.3,-2)</f>
        <v>300</v>
      </c>
      <c r="G21" s="61" t="s">
        <v>31</v>
      </c>
      <c r="H21" s="62" t="s">
        <v>30</v>
      </c>
      <c r="I21" s="262">
        <v>1015</v>
      </c>
      <c r="J21" s="262">
        <f>I21*P21%</f>
        <v>716.47058823529414</v>
      </c>
      <c r="K21" s="262">
        <f>I21*Q21%</f>
        <v>477.64705882352933</v>
      </c>
      <c r="L21" s="262">
        <v>330</v>
      </c>
      <c r="M21" s="70">
        <f>I21/C21</f>
        <v>1.1941176470588235</v>
      </c>
      <c r="N21" s="70" t="s">
        <v>1008</v>
      </c>
      <c r="O21" s="66" t="s">
        <v>32</v>
      </c>
      <c r="P21" s="75">
        <f>D21/C21*100</f>
        <v>70.588235294117652</v>
      </c>
      <c r="Q21" s="75">
        <f>E21/C21*100</f>
        <v>47.058823529411761</v>
      </c>
      <c r="R21" s="75">
        <f>L21/I21%</f>
        <v>32.512315270935957</v>
      </c>
    </row>
    <row r="22" spans="1:18" ht="46.5" customHeight="1" x14ac:dyDescent="0.25">
      <c r="A22" s="73" t="s">
        <v>33</v>
      </c>
      <c r="B22" s="56" t="s">
        <v>34</v>
      </c>
      <c r="C22" s="63">
        <v>750</v>
      </c>
      <c r="D22" s="63">
        <f>+ROUND(C22*0.7,-2)</f>
        <v>500</v>
      </c>
      <c r="E22" s="63">
        <f>+ROUND(C22*0.5,-2)</f>
        <v>400</v>
      </c>
      <c r="F22" s="63">
        <f>+ROUND(C22*0.3,-2)</f>
        <v>200</v>
      </c>
      <c r="G22" s="73" t="s">
        <v>33</v>
      </c>
      <c r="H22" s="56" t="s">
        <v>34</v>
      </c>
      <c r="I22" s="262">
        <f>C22*$M$6</f>
        <v>869.99999999999989</v>
      </c>
      <c r="J22" s="262">
        <f t="shared" ref="J22:L26" si="4">D22*$M$6</f>
        <v>580</v>
      </c>
      <c r="K22" s="262">
        <f t="shared" si="4"/>
        <v>463.99999999999994</v>
      </c>
      <c r="L22" s="262">
        <f t="shared" si="4"/>
        <v>231.99999999999997</v>
      </c>
      <c r="M22" s="68"/>
      <c r="N22" s="68"/>
      <c r="O22" s="66" t="s">
        <v>1009</v>
      </c>
    </row>
    <row r="23" spans="1:18" ht="40.15" customHeight="1" x14ac:dyDescent="0.25">
      <c r="A23" s="71">
        <v>3</v>
      </c>
      <c r="B23" s="62" t="s">
        <v>35</v>
      </c>
      <c r="C23" s="63">
        <v>600</v>
      </c>
      <c r="D23" s="63">
        <f>+ROUND(C23*0.7,-2)</f>
        <v>400</v>
      </c>
      <c r="E23" s="63">
        <f>+ROUND(C23*0.45,-2)</f>
        <v>300</v>
      </c>
      <c r="F23" s="63">
        <f>+ROUND(C23*0.3,-2)</f>
        <v>200</v>
      </c>
      <c r="G23" s="61">
        <v>9</v>
      </c>
      <c r="H23" s="62" t="s">
        <v>35</v>
      </c>
      <c r="I23" s="262">
        <f t="shared" ref="I23:I26" si="5">C23*$M$6</f>
        <v>696</v>
      </c>
      <c r="J23" s="262">
        <f t="shared" si="4"/>
        <v>463.99999999999994</v>
      </c>
      <c r="K23" s="262">
        <f t="shared" si="4"/>
        <v>348</v>
      </c>
      <c r="L23" s="262">
        <f t="shared" si="4"/>
        <v>231.99999999999997</v>
      </c>
      <c r="M23" s="68"/>
      <c r="N23" s="68"/>
      <c r="O23" s="66" t="s">
        <v>36</v>
      </c>
    </row>
    <row r="24" spans="1:18" ht="37.5" customHeight="1" x14ac:dyDescent="0.25">
      <c r="A24" s="71">
        <v>4</v>
      </c>
      <c r="B24" s="62" t="s">
        <v>37</v>
      </c>
      <c r="C24" s="63">
        <v>400</v>
      </c>
      <c r="D24" s="63">
        <f>+ROUND(C24*0.7,-2)</f>
        <v>300</v>
      </c>
      <c r="E24" s="63">
        <f>+ROUND(C24*0.4,-2)</f>
        <v>200</v>
      </c>
      <c r="F24" s="63">
        <f>+ROUND(C24*0.2,-2)</f>
        <v>100</v>
      </c>
      <c r="G24" s="61">
        <v>10</v>
      </c>
      <c r="H24" s="62" t="s">
        <v>37</v>
      </c>
      <c r="I24" s="262">
        <f t="shared" si="5"/>
        <v>463.99999999999994</v>
      </c>
      <c r="J24" s="262">
        <f t="shared" si="4"/>
        <v>348</v>
      </c>
      <c r="K24" s="262">
        <f t="shared" si="4"/>
        <v>231.99999999999997</v>
      </c>
      <c r="L24" s="262">
        <f t="shared" si="4"/>
        <v>115.99999999999999</v>
      </c>
      <c r="M24" s="68"/>
      <c r="N24" s="68"/>
      <c r="O24" s="66" t="s">
        <v>36</v>
      </c>
    </row>
    <row r="25" spans="1:18" ht="50.25" customHeight="1" x14ac:dyDescent="0.25">
      <c r="A25" s="72">
        <v>11</v>
      </c>
      <c r="B25" s="56" t="s">
        <v>38</v>
      </c>
      <c r="C25" s="63">
        <v>1200</v>
      </c>
      <c r="D25" s="63">
        <f>+ROUND(C25*0.5,-2)</f>
        <v>600</v>
      </c>
      <c r="E25" s="63">
        <f>+ROUND(C25*0.3,-2)</f>
        <v>400</v>
      </c>
      <c r="F25" s="63">
        <f>+ROUND(C25*0.2,-2)</f>
        <v>200</v>
      </c>
      <c r="G25" s="73">
        <v>11</v>
      </c>
      <c r="H25" s="56" t="s">
        <v>38</v>
      </c>
      <c r="I25" s="262">
        <f t="shared" si="5"/>
        <v>1392</v>
      </c>
      <c r="J25" s="262">
        <f t="shared" si="4"/>
        <v>696</v>
      </c>
      <c r="K25" s="262">
        <f t="shared" si="4"/>
        <v>463.99999999999994</v>
      </c>
      <c r="L25" s="262">
        <f t="shared" si="4"/>
        <v>231.99999999999997</v>
      </c>
      <c r="M25" s="68"/>
      <c r="N25" s="68"/>
      <c r="O25" s="66" t="s">
        <v>1009</v>
      </c>
    </row>
    <row r="26" spans="1:18" ht="54.75" customHeight="1" x14ac:dyDescent="0.25">
      <c r="A26" s="71">
        <v>6</v>
      </c>
      <c r="B26" s="62" t="s">
        <v>22</v>
      </c>
      <c r="C26" s="63">
        <v>2800</v>
      </c>
      <c r="D26" s="63">
        <f>+ROUND(C26*0.5,-2)</f>
        <v>1400</v>
      </c>
      <c r="E26" s="63">
        <f>+ROUND(C26*0.3,-2)</f>
        <v>800</v>
      </c>
      <c r="F26" s="63">
        <f>+ROUND(C26*0.2,-2)</f>
        <v>600</v>
      </c>
      <c r="G26" s="61">
        <v>12</v>
      </c>
      <c r="H26" s="62" t="s">
        <v>22</v>
      </c>
      <c r="I26" s="262">
        <f t="shared" si="5"/>
        <v>3248</v>
      </c>
      <c r="J26" s="262">
        <f t="shared" si="4"/>
        <v>1624</v>
      </c>
      <c r="K26" s="262">
        <f t="shared" si="4"/>
        <v>927.99999999999989</v>
      </c>
      <c r="L26" s="262">
        <f t="shared" si="4"/>
        <v>696</v>
      </c>
      <c r="M26" s="68"/>
      <c r="N26" s="68"/>
      <c r="O26" s="66" t="s">
        <v>36</v>
      </c>
    </row>
    <row r="27" spans="1:18" ht="25.15" customHeight="1" x14ac:dyDescent="0.25">
      <c r="A27" s="82" t="s">
        <v>39</v>
      </c>
      <c r="B27" s="69" t="s">
        <v>40</v>
      </c>
      <c r="C27" s="51"/>
      <c r="D27" s="51"/>
      <c r="E27" s="51"/>
      <c r="F27" s="51"/>
      <c r="G27" s="82" t="s">
        <v>39</v>
      </c>
      <c r="H27" s="69" t="s">
        <v>40</v>
      </c>
      <c r="I27" s="262"/>
      <c r="J27" s="262"/>
      <c r="K27" s="262"/>
      <c r="L27" s="262"/>
      <c r="M27" s="68"/>
      <c r="N27" s="68"/>
      <c r="O27" s="66" t="s">
        <v>25</v>
      </c>
    </row>
    <row r="28" spans="1:18" ht="58.15" customHeight="1" x14ac:dyDescent="0.25">
      <c r="A28" s="65" t="s">
        <v>41</v>
      </c>
      <c r="B28" s="69" t="s">
        <v>1145</v>
      </c>
      <c r="C28" s="76">
        <f>170*1.1</f>
        <v>187.00000000000003</v>
      </c>
      <c r="D28" s="76">
        <f>130*1.1</f>
        <v>143</v>
      </c>
      <c r="E28" s="76">
        <f>100*1.1</f>
        <v>110.00000000000001</v>
      </c>
      <c r="F28" s="77"/>
      <c r="G28" s="61">
        <v>1</v>
      </c>
      <c r="H28" s="69" t="s">
        <v>1145</v>
      </c>
      <c r="I28" s="262">
        <f>C28*$M$6</f>
        <v>216.92000000000002</v>
      </c>
      <c r="J28" s="262">
        <f t="shared" ref="J28:K34" si="6">D28*$M$6</f>
        <v>165.88</v>
      </c>
      <c r="K28" s="262">
        <f t="shared" si="6"/>
        <v>127.60000000000001</v>
      </c>
      <c r="L28" s="262"/>
      <c r="M28" s="68"/>
      <c r="N28" s="68"/>
      <c r="O28" s="66" t="s">
        <v>1010</v>
      </c>
    </row>
    <row r="29" spans="1:18" ht="61.15" customHeight="1" x14ac:dyDescent="0.25">
      <c r="A29" s="65" t="s">
        <v>42</v>
      </c>
      <c r="B29" s="69" t="s">
        <v>1146</v>
      </c>
      <c r="C29" s="76">
        <f>130*1.1</f>
        <v>143</v>
      </c>
      <c r="D29" s="76">
        <f>100*1.1</f>
        <v>110.00000000000001</v>
      </c>
      <c r="E29" s="76">
        <f>85*1.1</f>
        <v>93.500000000000014</v>
      </c>
      <c r="F29" s="77"/>
      <c r="G29" s="61">
        <v>2</v>
      </c>
      <c r="H29" s="69" t="s">
        <v>1146</v>
      </c>
      <c r="I29" s="262">
        <f t="shared" ref="I29:I34" si="7">C29*$M$6</f>
        <v>165.88</v>
      </c>
      <c r="J29" s="262">
        <f t="shared" si="6"/>
        <v>127.60000000000001</v>
      </c>
      <c r="K29" s="262">
        <f t="shared" si="6"/>
        <v>108.46000000000001</v>
      </c>
      <c r="L29" s="262"/>
      <c r="M29" s="68"/>
      <c r="N29" s="68"/>
      <c r="O29" s="66" t="s">
        <v>1010</v>
      </c>
    </row>
    <row r="30" spans="1:18" ht="99.75" customHeight="1" x14ac:dyDescent="0.25">
      <c r="A30" s="65" t="s">
        <v>43</v>
      </c>
      <c r="B30" s="62" t="s">
        <v>44</v>
      </c>
      <c r="C30" s="76">
        <f>170*1.1</f>
        <v>187.00000000000003</v>
      </c>
      <c r="D30" s="76">
        <f>130*1.1</f>
        <v>143</v>
      </c>
      <c r="E30" s="76">
        <f>100*1.1</f>
        <v>110.00000000000001</v>
      </c>
      <c r="F30" s="77"/>
      <c r="G30" s="61">
        <v>3</v>
      </c>
      <c r="H30" s="62" t="s">
        <v>44</v>
      </c>
      <c r="I30" s="262">
        <f t="shared" si="7"/>
        <v>216.92000000000002</v>
      </c>
      <c r="J30" s="262">
        <f t="shared" si="6"/>
        <v>165.88</v>
      </c>
      <c r="K30" s="262">
        <f t="shared" si="6"/>
        <v>127.60000000000001</v>
      </c>
      <c r="L30" s="262"/>
      <c r="M30" s="68"/>
      <c r="N30" s="68"/>
      <c r="O30" s="66" t="s">
        <v>1010</v>
      </c>
    </row>
    <row r="31" spans="1:18" ht="48.75" customHeight="1" x14ac:dyDescent="0.25">
      <c r="A31" s="65" t="s">
        <v>45</v>
      </c>
      <c r="B31" s="62" t="s">
        <v>46</v>
      </c>
      <c r="C31" s="76">
        <f>280*1.1</f>
        <v>308</v>
      </c>
      <c r="D31" s="76">
        <f>180*1.1</f>
        <v>198.00000000000003</v>
      </c>
      <c r="E31" s="76">
        <f>140*1.1</f>
        <v>154</v>
      </c>
      <c r="F31" s="77"/>
      <c r="G31" s="61">
        <v>4</v>
      </c>
      <c r="H31" s="62" t="s">
        <v>46</v>
      </c>
      <c r="I31" s="262">
        <f t="shared" si="7"/>
        <v>357.28</v>
      </c>
      <c r="J31" s="262">
        <f t="shared" si="6"/>
        <v>229.68</v>
      </c>
      <c r="K31" s="262">
        <f t="shared" si="6"/>
        <v>178.64</v>
      </c>
      <c r="L31" s="262"/>
      <c r="M31" s="68"/>
      <c r="N31" s="68"/>
      <c r="O31" s="66" t="s">
        <v>1010</v>
      </c>
    </row>
    <row r="32" spans="1:18" ht="49.5" x14ac:dyDescent="0.25">
      <c r="A32" s="65" t="s">
        <v>47</v>
      </c>
      <c r="B32" s="69" t="s">
        <v>1147</v>
      </c>
      <c r="C32" s="76">
        <f>140*1.1</f>
        <v>154</v>
      </c>
      <c r="D32" s="76">
        <f>110*1.1</f>
        <v>121.00000000000001</v>
      </c>
      <c r="E32" s="76">
        <f>85*1.1</f>
        <v>93.500000000000014</v>
      </c>
      <c r="F32" s="77"/>
      <c r="G32" s="61">
        <v>5</v>
      </c>
      <c r="H32" s="69" t="s">
        <v>1147</v>
      </c>
      <c r="I32" s="262">
        <f t="shared" si="7"/>
        <v>178.64</v>
      </c>
      <c r="J32" s="262">
        <f t="shared" si="6"/>
        <v>140.36000000000001</v>
      </c>
      <c r="K32" s="262">
        <f t="shared" si="6"/>
        <v>108.46000000000001</v>
      </c>
      <c r="L32" s="262"/>
      <c r="M32" s="68"/>
      <c r="N32" s="68"/>
      <c r="O32" s="66" t="s">
        <v>1010</v>
      </c>
    </row>
    <row r="33" spans="1:16" ht="58.5" customHeight="1" x14ac:dyDescent="0.25">
      <c r="A33" s="65" t="s">
        <v>48</v>
      </c>
      <c r="B33" s="62" t="s">
        <v>49</v>
      </c>
      <c r="C33" s="76">
        <f>140*1.1</f>
        <v>154</v>
      </c>
      <c r="D33" s="76">
        <f>110*1.1</f>
        <v>121.00000000000001</v>
      </c>
      <c r="E33" s="76">
        <f>85*1.1</f>
        <v>93.500000000000014</v>
      </c>
      <c r="F33" s="77"/>
      <c r="G33" s="61">
        <v>6</v>
      </c>
      <c r="H33" s="62" t="s">
        <v>49</v>
      </c>
      <c r="I33" s="262">
        <f t="shared" si="7"/>
        <v>178.64</v>
      </c>
      <c r="J33" s="262">
        <f t="shared" si="6"/>
        <v>140.36000000000001</v>
      </c>
      <c r="K33" s="262">
        <f t="shared" si="6"/>
        <v>108.46000000000001</v>
      </c>
      <c r="L33" s="262"/>
      <c r="M33" s="68"/>
      <c r="N33" s="68"/>
      <c r="O33" s="66" t="s">
        <v>1010</v>
      </c>
    </row>
    <row r="34" spans="1:16" ht="39" customHeight="1" x14ac:dyDescent="0.25">
      <c r="A34" s="65" t="s">
        <v>50</v>
      </c>
      <c r="B34" s="62" t="s">
        <v>51</v>
      </c>
      <c r="C34" s="76">
        <f>100*1.1</f>
        <v>110.00000000000001</v>
      </c>
      <c r="D34" s="76">
        <f>85*1.1</f>
        <v>93.500000000000014</v>
      </c>
      <c r="E34" s="76">
        <f>80*1.1</f>
        <v>88</v>
      </c>
      <c r="F34" s="77"/>
      <c r="G34" s="61">
        <v>7</v>
      </c>
      <c r="H34" s="62" t="s">
        <v>51</v>
      </c>
      <c r="I34" s="262">
        <f t="shared" si="7"/>
        <v>127.60000000000001</v>
      </c>
      <c r="J34" s="262">
        <f t="shared" si="6"/>
        <v>108.46000000000001</v>
      </c>
      <c r="K34" s="262">
        <f t="shared" si="6"/>
        <v>102.08</v>
      </c>
      <c r="L34" s="262"/>
      <c r="M34" s="68"/>
      <c r="N34" s="68"/>
      <c r="O34" s="66" t="s">
        <v>1010</v>
      </c>
    </row>
    <row r="35" spans="1:16" ht="32.25" customHeight="1" x14ac:dyDescent="0.25">
      <c r="A35" s="65" t="s">
        <v>52</v>
      </c>
      <c r="B35" s="62" t="s">
        <v>53</v>
      </c>
      <c r="C35" s="284">
        <f>85*1.1</f>
        <v>93.500000000000014</v>
      </c>
      <c r="D35" s="285"/>
      <c r="E35" s="285"/>
      <c r="F35" s="286"/>
      <c r="G35" s="71">
        <v>8</v>
      </c>
      <c r="H35" s="62" t="s">
        <v>53</v>
      </c>
      <c r="I35" s="284">
        <f>C35*1.16</f>
        <v>108.46000000000001</v>
      </c>
      <c r="J35" s="285"/>
      <c r="K35" s="285"/>
      <c r="L35" s="286"/>
      <c r="M35" s="66"/>
      <c r="N35" s="66"/>
      <c r="O35" s="66" t="s">
        <v>1010</v>
      </c>
    </row>
    <row r="36" spans="1:16" ht="25.15" customHeight="1" x14ac:dyDescent="0.25">
      <c r="A36" s="82" t="s">
        <v>54</v>
      </c>
      <c r="B36" s="69" t="s">
        <v>55</v>
      </c>
      <c r="C36" s="51"/>
      <c r="D36" s="51"/>
      <c r="E36" s="51"/>
      <c r="F36" s="51"/>
      <c r="G36" s="82" t="s">
        <v>54</v>
      </c>
      <c r="H36" s="69" t="s">
        <v>55</v>
      </c>
      <c r="I36" s="262"/>
      <c r="J36" s="262"/>
      <c r="K36" s="262"/>
      <c r="L36" s="262"/>
      <c r="M36" s="68"/>
      <c r="N36" s="68"/>
      <c r="O36" s="66" t="s">
        <v>1010</v>
      </c>
    </row>
    <row r="37" spans="1:16" ht="64.5" customHeight="1" x14ac:dyDescent="0.25">
      <c r="A37" s="65" t="s">
        <v>17</v>
      </c>
      <c r="B37" s="62" t="s">
        <v>56</v>
      </c>
      <c r="C37" s="76">
        <f>550*1.1</f>
        <v>605</v>
      </c>
      <c r="D37" s="76">
        <f>280*1.1</f>
        <v>308</v>
      </c>
      <c r="E37" s="76">
        <f>220*1.1</f>
        <v>242.00000000000003</v>
      </c>
      <c r="F37" s="77"/>
      <c r="G37" s="61">
        <v>1</v>
      </c>
      <c r="H37" s="62" t="s">
        <v>56</v>
      </c>
      <c r="I37" s="262">
        <f>C37*$M$6</f>
        <v>701.8</v>
      </c>
      <c r="J37" s="262">
        <f t="shared" ref="J37:K42" si="8">D37*$M$6</f>
        <v>357.28</v>
      </c>
      <c r="K37" s="262">
        <f t="shared" si="8"/>
        <v>280.72000000000003</v>
      </c>
      <c r="L37" s="262"/>
      <c r="M37" s="68"/>
      <c r="N37" s="68"/>
      <c r="O37" s="66" t="s">
        <v>1010</v>
      </c>
    </row>
    <row r="38" spans="1:16" ht="63" customHeight="1" x14ac:dyDescent="0.25">
      <c r="A38" s="65" t="s">
        <v>20</v>
      </c>
      <c r="B38" s="69" t="s">
        <v>1148</v>
      </c>
      <c r="C38" s="76">
        <f>350*1.1</f>
        <v>385.00000000000006</v>
      </c>
      <c r="D38" s="76">
        <f>230*1.1</f>
        <v>253.00000000000003</v>
      </c>
      <c r="E38" s="76">
        <f>160*1.1</f>
        <v>176</v>
      </c>
      <c r="F38" s="77"/>
      <c r="G38" s="61">
        <v>2</v>
      </c>
      <c r="H38" s="69" t="s">
        <v>1148</v>
      </c>
      <c r="I38" s="262">
        <f t="shared" ref="I38:I42" si="9">C38*$M$6</f>
        <v>446.6</v>
      </c>
      <c r="J38" s="262">
        <f t="shared" si="8"/>
        <v>293.48</v>
      </c>
      <c r="K38" s="262">
        <f t="shared" si="8"/>
        <v>204.16</v>
      </c>
      <c r="L38" s="262"/>
      <c r="M38" s="68"/>
      <c r="N38" s="68"/>
      <c r="O38" s="66" t="s">
        <v>1010</v>
      </c>
    </row>
    <row r="39" spans="1:16" ht="64.5" customHeight="1" x14ac:dyDescent="0.25">
      <c r="A39" s="65" t="s">
        <v>57</v>
      </c>
      <c r="B39" s="69" t="s">
        <v>1149</v>
      </c>
      <c r="C39" s="76">
        <f>180*1.1</f>
        <v>198.00000000000003</v>
      </c>
      <c r="D39" s="76">
        <f>140*1.1</f>
        <v>154</v>
      </c>
      <c r="E39" s="76">
        <f>100*1.1</f>
        <v>110.00000000000001</v>
      </c>
      <c r="F39" s="77"/>
      <c r="G39" s="61">
        <v>3</v>
      </c>
      <c r="H39" s="69" t="s">
        <v>1150</v>
      </c>
      <c r="I39" s="262">
        <f t="shared" si="9"/>
        <v>229.68</v>
      </c>
      <c r="J39" s="262">
        <f t="shared" si="8"/>
        <v>178.64</v>
      </c>
      <c r="K39" s="262">
        <f t="shared" si="8"/>
        <v>127.60000000000001</v>
      </c>
      <c r="L39" s="262"/>
      <c r="M39" s="68"/>
      <c r="N39" s="68"/>
      <c r="O39" s="66" t="s">
        <v>58</v>
      </c>
    </row>
    <row r="40" spans="1:16" ht="49.5" x14ac:dyDescent="0.25">
      <c r="A40" s="65" t="s">
        <v>59</v>
      </c>
      <c r="B40" s="69" t="s">
        <v>1151</v>
      </c>
      <c r="C40" s="76">
        <f>180*1.1</f>
        <v>198.00000000000003</v>
      </c>
      <c r="D40" s="76">
        <f>140*1.1</f>
        <v>154</v>
      </c>
      <c r="E40" s="76">
        <f>100*1.1</f>
        <v>110.00000000000001</v>
      </c>
      <c r="F40" s="77"/>
      <c r="G40" s="61">
        <v>4</v>
      </c>
      <c r="H40" s="69" t="s">
        <v>1151</v>
      </c>
      <c r="I40" s="262">
        <f t="shared" si="9"/>
        <v>229.68</v>
      </c>
      <c r="J40" s="262">
        <f t="shared" si="8"/>
        <v>178.64</v>
      </c>
      <c r="K40" s="262">
        <f t="shared" si="8"/>
        <v>127.60000000000001</v>
      </c>
      <c r="L40" s="262"/>
      <c r="M40" s="68"/>
      <c r="N40" s="68"/>
      <c r="O40" s="66" t="s">
        <v>1010</v>
      </c>
    </row>
    <row r="41" spans="1:16" ht="51" customHeight="1" x14ac:dyDescent="0.25">
      <c r="A41" s="65" t="s">
        <v>60</v>
      </c>
      <c r="B41" s="69" t="s">
        <v>1152</v>
      </c>
      <c r="C41" s="76">
        <f>150*1.1</f>
        <v>165</v>
      </c>
      <c r="D41" s="76">
        <f>120*1.1</f>
        <v>132</v>
      </c>
      <c r="E41" s="76">
        <f>90*1.1</f>
        <v>99.000000000000014</v>
      </c>
      <c r="F41" s="77"/>
      <c r="G41" s="61">
        <v>5</v>
      </c>
      <c r="H41" s="69" t="s">
        <v>1152</v>
      </c>
      <c r="I41" s="262">
        <f t="shared" si="9"/>
        <v>191.39999999999998</v>
      </c>
      <c r="J41" s="262">
        <f t="shared" si="8"/>
        <v>153.11999999999998</v>
      </c>
      <c r="K41" s="262">
        <f t="shared" si="8"/>
        <v>114.84</v>
      </c>
      <c r="L41" s="262"/>
      <c r="M41" s="68"/>
      <c r="N41" s="68"/>
      <c r="O41" s="66" t="s">
        <v>1010</v>
      </c>
    </row>
    <row r="42" spans="1:16" ht="40.15" customHeight="1" x14ac:dyDescent="0.25">
      <c r="A42" s="65" t="s">
        <v>61</v>
      </c>
      <c r="B42" s="62" t="s">
        <v>62</v>
      </c>
      <c r="C42" s="76">
        <f>100*1.1</f>
        <v>110.00000000000001</v>
      </c>
      <c r="D42" s="76">
        <f>85*1.1</f>
        <v>93.500000000000014</v>
      </c>
      <c r="E42" s="76">
        <f>80*1.1</f>
        <v>88</v>
      </c>
      <c r="F42" s="77"/>
      <c r="G42" s="61">
        <v>6</v>
      </c>
      <c r="H42" s="62" t="s">
        <v>62</v>
      </c>
      <c r="I42" s="262">
        <f t="shared" si="9"/>
        <v>127.60000000000001</v>
      </c>
      <c r="J42" s="262">
        <f t="shared" si="8"/>
        <v>108.46000000000001</v>
      </c>
      <c r="K42" s="262">
        <f t="shared" si="8"/>
        <v>102.08</v>
      </c>
      <c r="L42" s="262"/>
      <c r="M42" s="68"/>
      <c r="N42" s="68"/>
      <c r="O42" s="66" t="s">
        <v>1010</v>
      </c>
    </row>
    <row r="43" spans="1:16" ht="25.15" customHeight="1" x14ac:dyDescent="0.25">
      <c r="A43" s="65" t="s">
        <v>63</v>
      </c>
      <c r="B43" s="62" t="s">
        <v>53</v>
      </c>
      <c r="C43" s="284">
        <f>80*1.1</f>
        <v>88</v>
      </c>
      <c r="D43" s="285"/>
      <c r="E43" s="285"/>
      <c r="F43" s="286"/>
      <c r="G43" s="61">
        <v>7</v>
      </c>
      <c r="H43" s="62" t="s">
        <v>53</v>
      </c>
      <c r="I43" s="284">
        <f>C43*1.16</f>
        <v>102.08</v>
      </c>
      <c r="J43" s="285"/>
      <c r="K43" s="285"/>
      <c r="L43" s="286"/>
      <c r="M43" s="68"/>
      <c r="N43" s="68"/>
      <c r="O43" s="66" t="s">
        <v>1010</v>
      </c>
    </row>
    <row r="44" spans="1:16" ht="25.15" customHeight="1" x14ac:dyDescent="0.25">
      <c r="A44" s="82" t="s">
        <v>64</v>
      </c>
      <c r="B44" s="69" t="s">
        <v>65</v>
      </c>
      <c r="C44" s="51"/>
      <c r="D44" s="51"/>
      <c r="E44" s="51"/>
      <c r="F44" s="51"/>
      <c r="G44" s="82" t="s">
        <v>64</v>
      </c>
      <c r="H44" s="69" t="s">
        <v>65</v>
      </c>
      <c r="I44" s="262"/>
      <c r="J44" s="262"/>
      <c r="K44" s="262"/>
      <c r="L44" s="262"/>
      <c r="M44" s="68"/>
      <c r="N44" s="68"/>
      <c r="O44" s="66" t="s">
        <v>1010</v>
      </c>
    </row>
    <row r="45" spans="1:16" ht="47.25" customHeight="1" x14ac:dyDescent="0.25">
      <c r="A45" s="65" t="s">
        <v>66</v>
      </c>
      <c r="B45" s="69" t="s">
        <v>1153</v>
      </c>
      <c r="C45" s="76">
        <f>450*1.1</f>
        <v>495.00000000000006</v>
      </c>
      <c r="D45" s="76">
        <f>280*1.1</f>
        <v>308</v>
      </c>
      <c r="E45" s="76">
        <f>180*1.1</f>
        <v>198.00000000000003</v>
      </c>
      <c r="F45" s="76"/>
      <c r="G45" s="61">
        <v>1</v>
      </c>
      <c r="H45" s="69" t="s">
        <v>1153</v>
      </c>
      <c r="I45" s="262">
        <f>C45*$M$6</f>
        <v>574.20000000000005</v>
      </c>
      <c r="J45" s="262">
        <f t="shared" ref="J45:K47" si="10">D45*$M$6</f>
        <v>357.28</v>
      </c>
      <c r="K45" s="262">
        <f t="shared" si="10"/>
        <v>229.68</v>
      </c>
      <c r="L45" s="262"/>
      <c r="M45" s="68"/>
      <c r="N45" s="68"/>
      <c r="O45" s="66" t="s">
        <v>1010</v>
      </c>
    </row>
    <row r="46" spans="1:16" ht="40.15" customHeight="1" x14ac:dyDescent="0.25">
      <c r="A46" s="65" t="s">
        <v>67</v>
      </c>
      <c r="B46" s="69" t="s">
        <v>1154</v>
      </c>
      <c r="C46" s="76">
        <f>2000*1.1</f>
        <v>2200</v>
      </c>
      <c r="D46" s="76">
        <f>1000*1.1</f>
        <v>1100</v>
      </c>
      <c r="E46" s="76">
        <f>550*1.1</f>
        <v>605</v>
      </c>
      <c r="F46" s="76"/>
      <c r="G46" s="61">
        <v>2</v>
      </c>
      <c r="H46" s="69" t="s">
        <v>1154</v>
      </c>
      <c r="I46" s="262">
        <f t="shared" ref="I46:I47" si="11">C46*$M$6</f>
        <v>2552</v>
      </c>
      <c r="J46" s="262">
        <f t="shared" si="10"/>
        <v>1276</v>
      </c>
      <c r="K46" s="262">
        <f t="shared" si="10"/>
        <v>701.8</v>
      </c>
      <c r="L46" s="262"/>
      <c r="M46" s="68"/>
      <c r="N46" s="68"/>
      <c r="O46" s="66" t="s">
        <v>1010</v>
      </c>
    </row>
    <row r="47" spans="1:16" ht="40.15" customHeight="1" x14ac:dyDescent="0.25">
      <c r="A47" s="65" t="s">
        <v>68</v>
      </c>
      <c r="B47" s="69" t="s">
        <v>1155</v>
      </c>
      <c r="C47" s="76">
        <f>4000*1.1</f>
        <v>4400</v>
      </c>
      <c r="D47" s="76">
        <f>2200*1.1</f>
        <v>2420</v>
      </c>
      <c r="E47" s="76">
        <f>1000*1.1</f>
        <v>1100</v>
      </c>
      <c r="F47" s="76"/>
      <c r="G47" s="61">
        <v>3</v>
      </c>
      <c r="H47" s="69" t="s">
        <v>1155</v>
      </c>
      <c r="I47" s="262">
        <f t="shared" si="11"/>
        <v>5104</v>
      </c>
      <c r="J47" s="262">
        <f t="shared" si="10"/>
        <v>2807.2</v>
      </c>
      <c r="K47" s="262">
        <f t="shared" si="10"/>
        <v>1276</v>
      </c>
      <c r="L47" s="262"/>
      <c r="M47" s="68"/>
      <c r="N47" s="68"/>
      <c r="O47" s="66" t="s">
        <v>1010</v>
      </c>
      <c r="P47" s="74"/>
    </row>
    <row r="48" spans="1:16" ht="57" customHeight="1" x14ac:dyDescent="0.25">
      <c r="A48" s="65" t="s">
        <v>69</v>
      </c>
      <c r="B48" s="69" t="s">
        <v>1156</v>
      </c>
      <c r="C48" s="76">
        <f>1800*1.1</f>
        <v>1980.0000000000002</v>
      </c>
      <c r="D48" s="76">
        <f>900*1.1</f>
        <v>990.00000000000011</v>
      </c>
      <c r="E48" s="76">
        <f>500*1.1</f>
        <v>550</v>
      </c>
      <c r="F48" s="76"/>
      <c r="G48" s="61">
        <v>4</v>
      </c>
      <c r="H48" s="69" t="s">
        <v>1157</v>
      </c>
      <c r="I48" s="262">
        <v>1610</v>
      </c>
      <c r="J48" s="262">
        <v>805</v>
      </c>
      <c r="K48" s="262">
        <v>447</v>
      </c>
      <c r="L48" s="262"/>
      <c r="M48" s="68"/>
      <c r="N48" s="68"/>
      <c r="O48" s="66" t="s">
        <v>70</v>
      </c>
    </row>
    <row r="49" spans="1:15" ht="40.15" customHeight="1" x14ac:dyDescent="0.25">
      <c r="A49" s="65"/>
      <c r="B49" s="69"/>
      <c r="C49" s="76"/>
      <c r="D49" s="76"/>
      <c r="E49" s="76"/>
      <c r="F49" s="76"/>
      <c r="G49" s="61">
        <v>5</v>
      </c>
      <c r="H49" s="62" t="s">
        <v>1158</v>
      </c>
      <c r="I49" s="262">
        <v>1770</v>
      </c>
      <c r="J49" s="262">
        <v>885</v>
      </c>
      <c r="K49" s="262">
        <v>492</v>
      </c>
      <c r="L49" s="262"/>
      <c r="M49" s="68"/>
      <c r="N49" s="68"/>
      <c r="O49" s="66" t="s">
        <v>71</v>
      </c>
    </row>
    <row r="50" spans="1:15" ht="40.15" customHeight="1" x14ac:dyDescent="0.25">
      <c r="A50" s="65" t="s">
        <v>72</v>
      </c>
      <c r="B50" s="69" t="s">
        <v>1159</v>
      </c>
      <c r="C50" s="76">
        <f>1400*1.1</f>
        <v>1540.0000000000002</v>
      </c>
      <c r="D50" s="76">
        <f>400*1.1</f>
        <v>440.00000000000006</v>
      </c>
      <c r="E50" s="76">
        <f>200*1.1</f>
        <v>220.00000000000003</v>
      </c>
      <c r="F50" s="76"/>
      <c r="G50" s="61">
        <v>6</v>
      </c>
      <c r="H50" s="69" t="s">
        <v>1160</v>
      </c>
      <c r="I50" s="263">
        <f>C50*$M$6</f>
        <v>1786.4</v>
      </c>
      <c r="J50" s="263">
        <f t="shared" ref="J50:K51" si="12">D50*$M$6</f>
        <v>510.40000000000003</v>
      </c>
      <c r="K50" s="263">
        <f t="shared" si="12"/>
        <v>255.20000000000002</v>
      </c>
      <c r="L50" s="262"/>
      <c r="M50" s="68"/>
      <c r="N50" s="68"/>
      <c r="O50" s="66" t="s">
        <v>1011</v>
      </c>
    </row>
    <row r="51" spans="1:15" ht="40.15" customHeight="1" x14ac:dyDescent="0.25">
      <c r="A51" s="65" t="s">
        <v>73</v>
      </c>
      <c r="B51" s="62" t="s">
        <v>62</v>
      </c>
      <c r="C51" s="76">
        <f>120*1.1</f>
        <v>132</v>
      </c>
      <c r="D51" s="76">
        <f>90*1.1</f>
        <v>99.000000000000014</v>
      </c>
      <c r="E51" s="76">
        <f>80*1.1</f>
        <v>88</v>
      </c>
      <c r="F51" s="76"/>
      <c r="G51" s="61">
        <v>7</v>
      </c>
      <c r="H51" s="62" t="s">
        <v>62</v>
      </c>
      <c r="I51" s="263">
        <f>C51*$M$6</f>
        <v>153.11999999999998</v>
      </c>
      <c r="J51" s="263">
        <f t="shared" si="12"/>
        <v>114.84</v>
      </c>
      <c r="K51" s="263">
        <f t="shared" si="12"/>
        <v>102.08</v>
      </c>
      <c r="L51" s="262"/>
      <c r="M51" s="68"/>
      <c r="N51" s="68"/>
      <c r="O51" s="66" t="s">
        <v>1010</v>
      </c>
    </row>
    <row r="52" spans="1:15" ht="25.15" customHeight="1" x14ac:dyDescent="0.25">
      <c r="A52" s="65" t="s">
        <v>74</v>
      </c>
      <c r="B52" s="62" t="s">
        <v>53</v>
      </c>
      <c r="C52" s="283">
        <f>80*1.1</f>
        <v>88</v>
      </c>
      <c r="D52" s="283"/>
      <c r="E52" s="283"/>
      <c r="F52" s="76"/>
      <c r="G52" s="61">
        <v>8</v>
      </c>
      <c r="H52" s="62" t="s">
        <v>53</v>
      </c>
      <c r="I52" s="284">
        <f>C52*1.16</f>
        <v>102.08</v>
      </c>
      <c r="J52" s="285"/>
      <c r="K52" s="285"/>
      <c r="L52" s="286"/>
      <c r="M52" s="68"/>
      <c r="N52" s="68"/>
      <c r="O52" s="66" t="s">
        <v>1010</v>
      </c>
    </row>
    <row r="53" spans="1:15" ht="25.15" customHeight="1" x14ac:dyDescent="0.25">
      <c r="A53" s="82" t="s">
        <v>75</v>
      </c>
      <c r="B53" s="69" t="s">
        <v>76</v>
      </c>
      <c r="C53" s="51"/>
      <c r="D53" s="51"/>
      <c r="E53" s="51"/>
      <c r="F53" s="51"/>
      <c r="G53" s="82" t="s">
        <v>75</v>
      </c>
      <c r="H53" s="69" t="s">
        <v>76</v>
      </c>
      <c r="I53" s="262"/>
      <c r="J53" s="262"/>
      <c r="K53" s="262"/>
      <c r="L53" s="262"/>
      <c r="M53" s="68"/>
      <c r="N53" s="68"/>
    </row>
    <row r="54" spans="1:15" ht="21" customHeight="1" x14ac:dyDescent="0.25">
      <c r="A54" s="65" t="s">
        <v>77</v>
      </c>
      <c r="B54" s="69" t="s">
        <v>1162</v>
      </c>
      <c r="C54" s="76">
        <f>800*1.1</f>
        <v>880.00000000000011</v>
      </c>
      <c r="D54" s="76">
        <f>500*1.1</f>
        <v>550</v>
      </c>
      <c r="E54" s="76">
        <f>300*1.1</f>
        <v>330</v>
      </c>
      <c r="F54" s="76"/>
      <c r="G54" s="61">
        <v>1</v>
      </c>
      <c r="H54" s="69" t="s">
        <v>1162</v>
      </c>
      <c r="I54" s="262">
        <f>C54*$M$6</f>
        <v>1020.8000000000001</v>
      </c>
      <c r="J54" s="262">
        <f t="shared" ref="J54:K58" si="13">D54*$M$6</f>
        <v>638</v>
      </c>
      <c r="K54" s="262">
        <f t="shared" si="13"/>
        <v>382.79999999999995</v>
      </c>
      <c r="L54" s="262"/>
      <c r="M54" s="68"/>
      <c r="N54" s="68"/>
      <c r="O54" s="66" t="s">
        <v>1010</v>
      </c>
    </row>
    <row r="55" spans="1:15" ht="25.15" customHeight="1" x14ac:dyDescent="0.25">
      <c r="A55" s="65" t="s">
        <v>78</v>
      </c>
      <c r="B55" s="69" t="s">
        <v>1163</v>
      </c>
      <c r="C55" s="76">
        <f>500*1.1</f>
        <v>550</v>
      </c>
      <c r="D55" s="76">
        <f>300*1.1</f>
        <v>330</v>
      </c>
      <c r="E55" s="76">
        <f>180*1.1</f>
        <v>198.00000000000003</v>
      </c>
      <c r="F55" s="76"/>
      <c r="G55" s="61">
        <v>2</v>
      </c>
      <c r="H55" s="69" t="s">
        <v>1163</v>
      </c>
      <c r="I55" s="262">
        <f t="shared" ref="I55:I58" si="14">C55*$M$6</f>
        <v>638</v>
      </c>
      <c r="J55" s="262">
        <f t="shared" si="13"/>
        <v>382.79999999999995</v>
      </c>
      <c r="K55" s="262">
        <f t="shared" si="13"/>
        <v>229.68</v>
      </c>
      <c r="L55" s="262"/>
      <c r="M55" s="68"/>
      <c r="N55" s="68"/>
      <c r="O55" s="66" t="s">
        <v>1010</v>
      </c>
    </row>
    <row r="56" spans="1:15" ht="40.15" customHeight="1" x14ac:dyDescent="0.25">
      <c r="A56" s="65" t="s">
        <v>79</v>
      </c>
      <c r="B56" s="84" t="s">
        <v>1164</v>
      </c>
      <c r="C56" s="76">
        <f>350*1.1</f>
        <v>385.00000000000006</v>
      </c>
      <c r="D56" s="76">
        <f>230*1.1</f>
        <v>253.00000000000003</v>
      </c>
      <c r="E56" s="76">
        <f>160*1.1</f>
        <v>176</v>
      </c>
      <c r="F56" s="76"/>
      <c r="G56" s="61">
        <v>3</v>
      </c>
      <c r="H56" s="84" t="s">
        <v>1164</v>
      </c>
      <c r="I56" s="262">
        <f t="shared" si="14"/>
        <v>446.6</v>
      </c>
      <c r="J56" s="262">
        <f t="shared" si="13"/>
        <v>293.48</v>
      </c>
      <c r="K56" s="262">
        <f t="shared" si="13"/>
        <v>204.16</v>
      </c>
      <c r="L56" s="262"/>
      <c r="M56" s="68"/>
      <c r="N56" s="68"/>
      <c r="O56" s="66" t="s">
        <v>1010</v>
      </c>
    </row>
    <row r="57" spans="1:15" ht="40.15" customHeight="1" x14ac:dyDescent="0.25">
      <c r="A57" s="65" t="s">
        <v>80</v>
      </c>
      <c r="B57" s="62" t="s">
        <v>81</v>
      </c>
      <c r="C57" s="76">
        <f>230*1.1</f>
        <v>253.00000000000003</v>
      </c>
      <c r="D57" s="76">
        <f>140*1.1</f>
        <v>154</v>
      </c>
      <c r="E57" s="76">
        <f>100*1.1</f>
        <v>110.00000000000001</v>
      </c>
      <c r="F57" s="76"/>
      <c r="G57" s="61">
        <v>4</v>
      </c>
      <c r="H57" s="62" t="s">
        <v>81</v>
      </c>
      <c r="I57" s="262">
        <f t="shared" si="14"/>
        <v>293.48</v>
      </c>
      <c r="J57" s="262">
        <f t="shared" si="13"/>
        <v>178.64</v>
      </c>
      <c r="K57" s="262">
        <f t="shared" si="13"/>
        <v>127.60000000000001</v>
      </c>
      <c r="L57" s="262"/>
      <c r="M57" s="68"/>
      <c r="N57" s="68"/>
      <c r="O57" s="66" t="s">
        <v>1010</v>
      </c>
    </row>
    <row r="58" spans="1:15" ht="40.15" customHeight="1" x14ac:dyDescent="0.25">
      <c r="A58" s="65" t="s">
        <v>82</v>
      </c>
      <c r="B58" s="62" t="s">
        <v>62</v>
      </c>
      <c r="C58" s="76">
        <f>120*1.1</f>
        <v>132</v>
      </c>
      <c r="D58" s="76">
        <f>100*1.1</f>
        <v>110.00000000000001</v>
      </c>
      <c r="E58" s="76">
        <f>90*1.1</f>
        <v>99.000000000000014</v>
      </c>
      <c r="F58" s="76"/>
      <c r="G58" s="61">
        <v>5</v>
      </c>
      <c r="H58" s="62" t="s">
        <v>62</v>
      </c>
      <c r="I58" s="262">
        <f t="shared" si="14"/>
        <v>153.11999999999998</v>
      </c>
      <c r="J58" s="262">
        <f t="shared" si="13"/>
        <v>127.60000000000001</v>
      </c>
      <c r="K58" s="262">
        <f t="shared" si="13"/>
        <v>114.84</v>
      </c>
      <c r="L58" s="262"/>
      <c r="M58" s="68"/>
      <c r="N58" s="68"/>
      <c r="O58" s="66" t="s">
        <v>1010</v>
      </c>
    </row>
    <row r="59" spans="1:15" ht="25.15" customHeight="1" x14ac:dyDescent="0.25">
      <c r="A59" s="65" t="s">
        <v>83</v>
      </c>
      <c r="B59" s="62" t="s">
        <v>53</v>
      </c>
      <c r="C59" s="283">
        <f>80*1.1</f>
        <v>88</v>
      </c>
      <c r="D59" s="283"/>
      <c r="E59" s="283"/>
      <c r="F59" s="76"/>
      <c r="G59" s="61">
        <v>6</v>
      </c>
      <c r="H59" s="62" t="s">
        <v>53</v>
      </c>
      <c r="I59" s="284">
        <f>C59*1.16</f>
        <v>102.08</v>
      </c>
      <c r="J59" s="285"/>
      <c r="K59" s="285"/>
      <c r="L59" s="286"/>
      <c r="M59" s="68"/>
      <c r="N59" s="68"/>
      <c r="O59" s="66" t="s">
        <v>1010</v>
      </c>
    </row>
  </sheetData>
  <mergeCells count="18">
    <mergeCell ref="C59:E59"/>
    <mergeCell ref="C35:F35"/>
    <mergeCell ref="I35:L35"/>
    <mergeCell ref="C43:F43"/>
    <mergeCell ref="I43:L43"/>
    <mergeCell ref="C52:E52"/>
    <mergeCell ref="I52:L52"/>
    <mergeCell ref="I59:L59"/>
    <mergeCell ref="G1:L1"/>
    <mergeCell ref="G2:P2"/>
    <mergeCell ref="G3:L3"/>
    <mergeCell ref="J4:L4"/>
    <mergeCell ref="A5:A6"/>
    <mergeCell ref="B5:B6"/>
    <mergeCell ref="C5:F5"/>
    <mergeCell ref="G5:G6"/>
    <mergeCell ref="H5:H6"/>
    <mergeCell ref="I5:L5"/>
  </mergeCells>
  <pageMargins left="0.28740157500000002" right="0.19055118110236199" top="0.49055118110236201" bottom="0.19055118110236199" header="0.118110236220472" footer="0.118110236220472"/>
  <pageSetup paperSize="9" scale="80" orientation="portrait" useFirstPageNumber="1"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1"/>
  <sheetViews>
    <sheetView topLeftCell="F286" zoomScaleNormal="100" workbookViewId="0">
      <selection activeCell="AD10" sqref="AC10:AD10"/>
    </sheetView>
  </sheetViews>
  <sheetFormatPr defaultColWidth="15.42578125" defaultRowHeight="15.75" x14ac:dyDescent="0.25"/>
  <cols>
    <col min="1" max="1" width="4.42578125" style="16" hidden="1" customWidth="1"/>
    <col min="2" max="2" width="29.85546875" style="17" hidden="1" customWidth="1"/>
    <col min="3" max="5" width="6.28515625" style="20" hidden="1" customWidth="1"/>
    <col min="6" max="6" width="7" style="16" customWidth="1"/>
    <col min="7" max="7" width="47.5703125" style="17" customWidth="1"/>
    <col min="8" max="8" width="13" style="20" customWidth="1"/>
    <col min="9" max="9" width="11.85546875" style="20" customWidth="1"/>
    <col min="10" max="10" width="12.85546875" style="20" customWidth="1"/>
    <col min="11" max="11" width="6.140625" style="13" hidden="1" customWidth="1"/>
    <col min="12" max="12" width="6.7109375" style="13" hidden="1" customWidth="1"/>
    <col min="13" max="13" width="5.42578125" style="13" hidden="1" customWidth="1"/>
    <col min="14" max="14" width="7.140625" style="13" hidden="1" customWidth="1"/>
    <col min="15" max="15" width="17" style="13" hidden="1" customWidth="1"/>
    <col min="16" max="22" width="0" style="13" hidden="1" customWidth="1"/>
    <col min="23" max="23" width="0" style="14" hidden="1" customWidth="1"/>
    <col min="24" max="28" width="0" style="13" hidden="1" customWidth="1"/>
    <col min="29" max="16384" width="15.42578125" style="13"/>
  </cols>
  <sheetData>
    <row r="1" spans="1:23" ht="18.75" x14ac:dyDescent="0.25">
      <c r="A1" s="287" t="s">
        <v>84</v>
      </c>
      <c r="B1" s="287"/>
      <c r="C1" s="287"/>
      <c r="D1" s="287"/>
      <c r="E1" s="287"/>
      <c r="F1" s="280" t="s">
        <v>1311</v>
      </c>
      <c r="G1" s="280"/>
      <c r="H1" s="280"/>
      <c r="I1" s="280"/>
      <c r="J1" s="280"/>
      <c r="K1" s="80"/>
      <c r="L1" s="80"/>
      <c r="M1" s="80"/>
      <c r="N1" s="66"/>
      <c r="O1" s="66"/>
      <c r="P1" s="66"/>
      <c r="Q1" s="66"/>
      <c r="R1" s="66"/>
      <c r="S1" s="66"/>
    </row>
    <row r="2" spans="1:23" ht="16.5" x14ac:dyDescent="0.25">
      <c r="A2" s="86"/>
      <c r="B2" s="86"/>
      <c r="C2" s="288"/>
      <c r="D2" s="288"/>
      <c r="E2" s="288"/>
      <c r="F2" s="173"/>
      <c r="G2" s="86"/>
      <c r="H2" s="281" t="s">
        <v>962</v>
      </c>
      <c r="I2" s="281"/>
      <c r="J2" s="281"/>
      <c r="K2" s="46"/>
      <c r="L2" s="46"/>
      <c r="M2" s="46"/>
      <c r="N2" s="46"/>
      <c r="O2" s="87"/>
      <c r="P2" s="66"/>
      <c r="Q2" s="66"/>
      <c r="R2" s="66"/>
      <c r="S2" s="66"/>
    </row>
    <row r="3" spans="1:23" s="21" customFormat="1" ht="18.75" x14ac:dyDescent="0.25">
      <c r="A3" s="282" t="s">
        <v>0</v>
      </c>
      <c r="B3" s="282" t="s">
        <v>1</v>
      </c>
      <c r="C3" s="290" t="s">
        <v>2</v>
      </c>
      <c r="D3" s="290"/>
      <c r="E3" s="290"/>
      <c r="F3" s="282" t="s">
        <v>0</v>
      </c>
      <c r="G3" s="282" t="s">
        <v>1</v>
      </c>
      <c r="H3" s="291" t="s">
        <v>1135</v>
      </c>
      <c r="I3" s="292"/>
      <c r="J3" s="293"/>
      <c r="K3" s="294" t="s">
        <v>1004</v>
      </c>
      <c r="L3" s="295"/>
      <c r="M3" s="296"/>
      <c r="N3" s="297" t="s">
        <v>86</v>
      </c>
      <c r="O3" s="297" t="s">
        <v>87</v>
      </c>
      <c r="P3" s="66"/>
      <c r="Q3" s="66"/>
      <c r="R3" s="66"/>
      <c r="S3" s="66"/>
      <c r="W3" s="78"/>
    </row>
    <row r="4" spans="1:23" s="21" customFormat="1" ht="21" customHeight="1" x14ac:dyDescent="0.25">
      <c r="A4" s="282"/>
      <c r="B4" s="289"/>
      <c r="C4" s="84" t="s">
        <v>6</v>
      </c>
      <c r="D4" s="84" t="s">
        <v>3</v>
      </c>
      <c r="E4" s="84" t="s">
        <v>7</v>
      </c>
      <c r="F4" s="282"/>
      <c r="G4" s="289"/>
      <c r="H4" s="82" t="s">
        <v>6</v>
      </c>
      <c r="I4" s="82" t="s">
        <v>3</v>
      </c>
      <c r="J4" s="82" t="s">
        <v>7</v>
      </c>
      <c r="K4" s="82" t="s">
        <v>6</v>
      </c>
      <c r="L4" s="82" t="s">
        <v>3</v>
      </c>
      <c r="M4" s="82" t="s">
        <v>7</v>
      </c>
      <c r="N4" s="298"/>
      <c r="O4" s="298"/>
      <c r="P4" s="66"/>
      <c r="Q4" s="66"/>
      <c r="R4" s="66"/>
      <c r="S4" s="66"/>
      <c r="W4" s="78"/>
    </row>
    <row r="5" spans="1:23" ht="33" x14ac:dyDescent="0.25">
      <c r="A5" s="82" t="s">
        <v>9</v>
      </c>
      <c r="B5" s="69" t="s">
        <v>88</v>
      </c>
      <c r="C5" s="84"/>
      <c r="D5" s="84"/>
      <c r="E5" s="84"/>
      <c r="F5" s="82" t="s">
        <v>9</v>
      </c>
      <c r="G5" s="69" t="s">
        <v>1161</v>
      </c>
      <c r="H5" s="84"/>
      <c r="I5" s="84"/>
      <c r="J5" s="84"/>
      <c r="K5" s="82"/>
      <c r="L5" s="82"/>
      <c r="M5" s="82"/>
      <c r="N5" s="65"/>
      <c r="O5" s="66"/>
      <c r="P5" s="66"/>
      <c r="Q5" s="66"/>
      <c r="R5" s="66"/>
      <c r="S5" s="66"/>
    </row>
    <row r="6" spans="1:23" ht="36.75" customHeight="1" x14ac:dyDescent="0.25">
      <c r="A6" s="65">
        <v>1</v>
      </c>
      <c r="B6" s="62" t="s">
        <v>89</v>
      </c>
      <c r="C6" s="89">
        <v>1400</v>
      </c>
      <c r="D6" s="90"/>
      <c r="E6" s="90"/>
      <c r="F6" s="65">
        <v>1</v>
      </c>
      <c r="G6" s="62" t="s">
        <v>89</v>
      </c>
      <c r="H6" s="57">
        <v>1595</v>
      </c>
      <c r="I6" s="90"/>
      <c r="J6" s="90"/>
      <c r="K6" s="76">
        <f>(H6/C6)*100-100</f>
        <v>13.928571428571416</v>
      </c>
      <c r="L6" s="76"/>
      <c r="M6" s="65"/>
      <c r="N6" s="65" t="s">
        <v>102</v>
      </c>
      <c r="O6" s="66"/>
      <c r="P6" s="66"/>
      <c r="Q6" s="66"/>
      <c r="R6" s="66"/>
      <c r="S6" s="66"/>
      <c r="W6" s="14">
        <f>H6/C6</f>
        <v>1.1392857142857142</v>
      </c>
    </row>
    <row r="7" spans="1:23" ht="16.5" x14ac:dyDescent="0.25">
      <c r="A7" s="65">
        <v>2</v>
      </c>
      <c r="B7" s="62" t="s">
        <v>90</v>
      </c>
      <c r="C7" s="89">
        <v>1450</v>
      </c>
      <c r="D7" s="90"/>
      <c r="E7" s="90"/>
      <c r="F7" s="65">
        <v>2</v>
      </c>
      <c r="G7" s="62" t="s">
        <v>90</v>
      </c>
      <c r="H7" s="57">
        <f>C7*1.1</f>
        <v>1595.0000000000002</v>
      </c>
      <c r="I7" s="90"/>
      <c r="J7" s="90"/>
      <c r="K7" s="76">
        <f t="shared" ref="K7:L65" si="0">(H7/C7)*100-100</f>
        <v>10.000000000000014</v>
      </c>
      <c r="L7" s="76"/>
      <c r="M7" s="65"/>
      <c r="N7" s="65" t="s">
        <v>102</v>
      </c>
      <c r="O7" s="66"/>
      <c r="P7" s="66"/>
      <c r="Q7" s="66"/>
      <c r="R7" s="66"/>
      <c r="S7" s="66"/>
      <c r="W7" s="14">
        <f t="shared" ref="W7:W69" si="1">H7/C7</f>
        <v>1.1000000000000001</v>
      </c>
    </row>
    <row r="8" spans="1:23" ht="16.5" x14ac:dyDescent="0.25">
      <c r="A8" s="65">
        <v>3</v>
      </c>
      <c r="B8" s="62" t="s">
        <v>91</v>
      </c>
      <c r="C8" s="89">
        <v>1280</v>
      </c>
      <c r="D8" s="90"/>
      <c r="E8" s="90"/>
      <c r="F8" s="65">
        <v>3</v>
      </c>
      <c r="G8" s="62" t="s">
        <v>91</v>
      </c>
      <c r="H8" s="57">
        <v>1408</v>
      </c>
      <c r="I8" s="90"/>
      <c r="J8" s="90"/>
      <c r="K8" s="76">
        <f t="shared" si="0"/>
        <v>10.000000000000014</v>
      </c>
      <c r="L8" s="76"/>
      <c r="M8" s="65"/>
      <c r="N8" s="65" t="s">
        <v>102</v>
      </c>
      <c r="O8" s="66"/>
      <c r="P8" s="66"/>
      <c r="Q8" s="66"/>
      <c r="R8" s="66"/>
      <c r="S8" s="66"/>
      <c r="W8" s="14">
        <f t="shared" si="1"/>
        <v>1.1000000000000001</v>
      </c>
    </row>
    <row r="9" spans="1:23" ht="16.5" x14ac:dyDescent="0.25">
      <c r="A9" s="65">
        <v>4</v>
      </c>
      <c r="B9" s="62" t="s">
        <v>92</v>
      </c>
      <c r="C9" s="89">
        <v>1150</v>
      </c>
      <c r="D9" s="90"/>
      <c r="E9" s="90"/>
      <c r="F9" s="65">
        <v>4</v>
      </c>
      <c r="G9" s="62" t="s">
        <v>92</v>
      </c>
      <c r="H9" s="57">
        <v>1265</v>
      </c>
      <c r="I9" s="90"/>
      <c r="J9" s="90"/>
      <c r="K9" s="76">
        <f t="shared" si="0"/>
        <v>10.000000000000014</v>
      </c>
      <c r="L9" s="76"/>
      <c r="M9" s="65"/>
      <c r="N9" s="65" t="s">
        <v>102</v>
      </c>
      <c r="O9" s="66"/>
      <c r="P9" s="66"/>
      <c r="Q9" s="66"/>
      <c r="R9" s="66"/>
      <c r="S9" s="66"/>
      <c r="W9" s="14">
        <f t="shared" si="1"/>
        <v>1.1000000000000001</v>
      </c>
    </row>
    <row r="10" spans="1:23" ht="16.5" x14ac:dyDescent="0.25">
      <c r="A10" s="65">
        <v>5</v>
      </c>
      <c r="B10" s="62" t="s">
        <v>93</v>
      </c>
      <c r="C10" s="89">
        <v>950</v>
      </c>
      <c r="D10" s="90"/>
      <c r="E10" s="90"/>
      <c r="F10" s="65">
        <v>5</v>
      </c>
      <c r="G10" s="62" t="s">
        <v>93</v>
      </c>
      <c r="H10" s="57">
        <v>1045</v>
      </c>
      <c r="I10" s="90"/>
      <c r="J10" s="90"/>
      <c r="K10" s="76">
        <f t="shared" si="0"/>
        <v>10.000000000000014</v>
      </c>
      <c r="L10" s="76"/>
      <c r="M10" s="65"/>
      <c r="N10" s="65" t="s">
        <v>102</v>
      </c>
      <c r="O10" s="66"/>
      <c r="P10" s="66"/>
      <c r="Q10" s="66"/>
      <c r="R10" s="66"/>
      <c r="S10" s="66"/>
      <c r="W10" s="14">
        <f t="shared" si="1"/>
        <v>1.1000000000000001</v>
      </c>
    </row>
    <row r="11" spans="1:23" ht="16.5" x14ac:dyDescent="0.25">
      <c r="A11" s="65">
        <v>6</v>
      </c>
      <c r="B11" s="62" t="s">
        <v>94</v>
      </c>
      <c r="C11" s="89">
        <v>900</v>
      </c>
      <c r="D11" s="90"/>
      <c r="E11" s="90"/>
      <c r="F11" s="65">
        <v>6</v>
      </c>
      <c r="G11" s="62" t="s">
        <v>94</v>
      </c>
      <c r="H11" s="57">
        <v>990</v>
      </c>
      <c r="I11" s="90"/>
      <c r="J11" s="90"/>
      <c r="K11" s="76">
        <f t="shared" si="0"/>
        <v>10.000000000000014</v>
      </c>
      <c r="L11" s="76"/>
      <c r="M11" s="65"/>
      <c r="N11" s="65" t="s">
        <v>102</v>
      </c>
      <c r="O11" s="66"/>
      <c r="P11" s="66"/>
      <c r="Q11" s="66"/>
      <c r="R11" s="66"/>
      <c r="S11" s="66"/>
      <c r="W11" s="14">
        <f t="shared" si="1"/>
        <v>1.1000000000000001</v>
      </c>
    </row>
    <row r="12" spans="1:23" ht="16.5" x14ac:dyDescent="0.25">
      <c r="A12" s="65">
        <v>7</v>
      </c>
      <c r="B12" s="62" t="s">
        <v>95</v>
      </c>
      <c r="C12" s="89">
        <v>800</v>
      </c>
      <c r="D12" s="90"/>
      <c r="E12" s="90"/>
      <c r="F12" s="65">
        <v>7</v>
      </c>
      <c r="G12" s="62" t="s">
        <v>95</v>
      </c>
      <c r="H12" s="57">
        <v>880</v>
      </c>
      <c r="I12" s="90"/>
      <c r="J12" s="90"/>
      <c r="K12" s="76">
        <f t="shared" si="0"/>
        <v>10.000000000000014</v>
      </c>
      <c r="L12" s="76"/>
      <c r="M12" s="65"/>
      <c r="N12" s="65" t="s">
        <v>102</v>
      </c>
      <c r="O12" s="66"/>
      <c r="P12" s="66"/>
      <c r="Q12" s="66"/>
      <c r="R12" s="66"/>
      <c r="S12" s="66"/>
      <c r="W12" s="14">
        <f t="shared" si="1"/>
        <v>1.1000000000000001</v>
      </c>
    </row>
    <row r="13" spans="1:23" ht="16.5" x14ac:dyDescent="0.25">
      <c r="A13" s="65">
        <v>8</v>
      </c>
      <c r="B13" s="62" t="s">
        <v>96</v>
      </c>
      <c r="C13" s="89">
        <v>700</v>
      </c>
      <c r="D13" s="90"/>
      <c r="E13" s="90"/>
      <c r="F13" s="65">
        <v>8</v>
      </c>
      <c r="G13" s="62" t="s">
        <v>96</v>
      </c>
      <c r="H13" s="57">
        <v>840</v>
      </c>
      <c r="I13" s="90"/>
      <c r="J13" s="90"/>
      <c r="K13" s="76">
        <f t="shared" si="0"/>
        <v>20</v>
      </c>
      <c r="L13" s="76"/>
      <c r="M13" s="65"/>
      <c r="N13" s="65" t="s">
        <v>102</v>
      </c>
      <c r="O13" s="66"/>
      <c r="P13" s="66"/>
      <c r="Q13" s="66"/>
      <c r="R13" s="66"/>
      <c r="S13" s="66"/>
      <c r="W13" s="14">
        <f t="shared" si="1"/>
        <v>1.2</v>
      </c>
    </row>
    <row r="14" spans="1:23" ht="16.5" x14ac:dyDescent="0.25">
      <c r="A14" s="82">
        <v>1</v>
      </c>
      <c r="B14" s="69" t="s">
        <v>98</v>
      </c>
      <c r="C14" s="84"/>
      <c r="D14" s="84"/>
      <c r="E14" s="84"/>
      <c r="F14" s="82">
        <v>1</v>
      </c>
      <c r="G14" s="69" t="s">
        <v>98</v>
      </c>
      <c r="H14" s="84"/>
      <c r="I14" s="84"/>
      <c r="J14" s="84"/>
      <c r="K14" s="76"/>
      <c r="L14" s="76"/>
      <c r="M14" s="82"/>
      <c r="N14" s="65"/>
      <c r="O14" s="66"/>
      <c r="P14" s="66"/>
      <c r="Q14" s="66"/>
      <c r="R14" s="66"/>
      <c r="S14" s="66"/>
      <c r="W14" s="14" t="e">
        <f t="shared" si="1"/>
        <v>#DIV/0!</v>
      </c>
    </row>
    <row r="15" spans="1:23" ht="85.5" customHeight="1" x14ac:dyDescent="0.25">
      <c r="A15" s="90" t="s">
        <v>12</v>
      </c>
      <c r="B15" s="91" t="s">
        <v>1165</v>
      </c>
      <c r="C15" s="89">
        <v>9500</v>
      </c>
      <c r="D15" s="89">
        <v>5000</v>
      </c>
      <c r="E15" s="89">
        <v>3500</v>
      </c>
      <c r="F15" s="65" t="s">
        <v>12</v>
      </c>
      <c r="G15" s="91" t="s">
        <v>1165</v>
      </c>
      <c r="H15" s="57">
        <v>10500</v>
      </c>
      <c r="I15" s="57">
        <f>D15*1.11</f>
        <v>5550.0000000000009</v>
      </c>
      <c r="J15" s="57">
        <f>E15*1.11</f>
        <v>3885.0000000000005</v>
      </c>
      <c r="K15" s="76">
        <f t="shared" si="0"/>
        <v>10.526315789473699</v>
      </c>
      <c r="L15" s="92">
        <f>(I15/D15)*100-100</f>
        <v>11.000000000000014</v>
      </c>
      <c r="M15" s="93">
        <f>(J15/E15)*100-100</f>
        <v>11.000000000000014</v>
      </c>
      <c r="N15" s="65" t="s">
        <v>102</v>
      </c>
      <c r="O15" s="66"/>
      <c r="P15" s="94">
        <f>H15/C15</f>
        <v>1.1052631578947369</v>
      </c>
      <c r="Q15" s="66"/>
      <c r="R15" s="94"/>
      <c r="S15" s="66"/>
      <c r="V15" s="14"/>
      <c r="W15" s="14">
        <f t="shared" si="1"/>
        <v>1.1052631578947369</v>
      </c>
    </row>
    <row r="16" spans="1:23" ht="124.5" customHeight="1" x14ac:dyDescent="0.25">
      <c r="A16" s="65" t="s">
        <v>14</v>
      </c>
      <c r="B16" s="95" t="s">
        <v>1166</v>
      </c>
      <c r="C16" s="89">
        <v>8000</v>
      </c>
      <c r="D16" s="89">
        <v>4800</v>
      </c>
      <c r="E16" s="89">
        <v>3200</v>
      </c>
      <c r="F16" s="65" t="s">
        <v>14</v>
      </c>
      <c r="G16" s="69" t="s">
        <v>1166</v>
      </c>
      <c r="H16" s="57">
        <f t="shared" ref="H16:J23" si="2">C16*1.1</f>
        <v>8800</v>
      </c>
      <c r="I16" s="57">
        <f t="shared" si="2"/>
        <v>5280</v>
      </c>
      <c r="J16" s="57">
        <f t="shared" si="2"/>
        <v>3520.0000000000005</v>
      </c>
      <c r="K16" s="76">
        <f t="shared" si="0"/>
        <v>10.000000000000014</v>
      </c>
      <c r="L16" s="92">
        <f t="shared" ref="L16:L29" si="3">(H16/C16)*100-100</f>
        <v>10.000000000000014</v>
      </c>
      <c r="M16" s="93">
        <f t="shared" ref="M16:M79" si="4">(J16/E16)*100-100</f>
        <v>10.000000000000014</v>
      </c>
      <c r="N16" s="65" t="s">
        <v>102</v>
      </c>
      <c r="O16" s="66"/>
      <c r="P16" s="66"/>
      <c r="Q16" s="66"/>
      <c r="R16" s="66"/>
      <c r="S16" s="66"/>
      <c r="V16" s="14"/>
      <c r="W16" s="14">
        <f t="shared" si="1"/>
        <v>1.1000000000000001</v>
      </c>
    </row>
    <row r="17" spans="1:23" ht="93.75" customHeight="1" x14ac:dyDescent="0.25">
      <c r="A17" s="65" t="s">
        <v>99</v>
      </c>
      <c r="B17" s="69" t="s">
        <v>1167</v>
      </c>
      <c r="C17" s="89">
        <v>3000</v>
      </c>
      <c r="D17" s="89">
        <v>800</v>
      </c>
      <c r="E17" s="89">
        <v>450</v>
      </c>
      <c r="F17" s="65" t="s">
        <v>99</v>
      </c>
      <c r="G17" s="69" t="s">
        <v>1167</v>
      </c>
      <c r="H17" s="57">
        <f t="shared" si="2"/>
        <v>3300.0000000000005</v>
      </c>
      <c r="I17" s="57">
        <f t="shared" si="2"/>
        <v>880.00000000000011</v>
      </c>
      <c r="J17" s="57">
        <f t="shared" si="2"/>
        <v>495.00000000000006</v>
      </c>
      <c r="K17" s="76">
        <f t="shared" si="0"/>
        <v>10.000000000000014</v>
      </c>
      <c r="L17" s="92">
        <f t="shared" si="3"/>
        <v>10.000000000000014</v>
      </c>
      <c r="M17" s="93">
        <f t="shared" si="4"/>
        <v>10.000000000000014</v>
      </c>
      <c r="N17" s="65" t="s">
        <v>102</v>
      </c>
      <c r="O17" s="66"/>
      <c r="P17" s="66"/>
      <c r="Q17" s="66"/>
      <c r="R17" s="66"/>
      <c r="S17" s="66"/>
      <c r="V17" s="14"/>
      <c r="W17" s="14">
        <f t="shared" si="1"/>
        <v>1.1000000000000001</v>
      </c>
    </row>
    <row r="18" spans="1:23" ht="82.5" x14ac:dyDescent="0.25">
      <c r="A18" s="65" t="s">
        <v>100</v>
      </c>
      <c r="B18" s="69" t="s">
        <v>1168</v>
      </c>
      <c r="C18" s="89">
        <v>3500</v>
      </c>
      <c r="D18" s="89">
        <v>1850</v>
      </c>
      <c r="E18" s="89">
        <v>950</v>
      </c>
      <c r="F18" s="65" t="s">
        <v>100</v>
      </c>
      <c r="G18" s="69" t="s">
        <v>1168</v>
      </c>
      <c r="H18" s="57">
        <f t="shared" si="2"/>
        <v>3850.0000000000005</v>
      </c>
      <c r="I18" s="57">
        <f t="shared" si="2"/>
        <v>2035.0000000000002</v>
      </c>
      <c r="J18" s="57">
        <f t="shared" si="2"/>
        <v>1045</v>
      </c>
      <c r="K18" s="76">
        <f t="shared" si="0"/>
        <v>10.000000000000014</v>
      </c>
      <c r="L18" s="92">
        <f t="shared" si="3"/>
        <v>10.000000000000014</v>
      </c>
      <c r="M18" s="93">
        <f t="shared" si="4"/>
        <v>10.000000000000014</v>
      </c>
      <c r="N18" s="65" t="s">
        <v>102</v>
      </c>
      <c r="O18" s="66"/>
      <c r="P18" s="66"/>
      <c r="Q18" s="66"/>
      <c r="R18" s="66"/>
      <c r="S18" s="66"/>
      <c r="V18" s="14"/>
      <c r="W18" s="14">
        <f t="shared" si="1"/>
        <v>1.1000000000000001</v>
      </c>
    </row>
    <row r="19" spans="1:23" ht="75" customHeight="1" x14ac:dyDescent="0.25">
      <c r="A19" s="65" t="s">
        <v>101</v>
      </c>
      <c r="B19" s="69" t="s">
        <v>1169</v>
      </c>
      <c r="C19" s="89">
        <v>2000</v>
      </c>
      <c r="D19" s="89">
        <f>C19*50%</f>
        <v>1000</v>
      </c>
      <c r="E19" s="89">
        <f>C19*30%</f>
        <v>600</v>
      </c>
      <c r="F19" s="65" t="s">
        <v>101</v>
      </c>
      <c r="G19" s="69" t="s">
        <v>1169</v>
      </c>
      <c r="H19" s="57">
        <v>3340</v>
      </c>
      <c r="I19" s="57">
        <f>D19*1.67</f>
        <v>1670</v>
      </c>
      <c r="J19" s="57">
        <f>E19*1.67</f>
        <v>1002</v>
      </c>
      <c r="K19" s="76">
        <f t="shared" si="0"/>
        <v>67</v>
      </c>
      <c r="L19" s="92">
        <f t="shared" si="3"/>
        <v>67</v>
      </c>
      <c r="M19" s="93">
        <f t="shared" si="4"/>
        <v>67</v>
      </c>
      <c r="N19" s="65" t="s">
        <v>102</v>
      </c>
      <c r="O19" s="94">
        <f>H19/C19</f>
        <v>1.67</v>
      </c>
      <c r="P19" s="66"/>
      <c r="Q19" s="66"/>
      <c r="R19" s="66"/>
      <c r="S19" s="66"/>
      <c r="V19" s="14"/>
      <c r="W19" s="14">
        <f t="shared" si="1"/>
        <v>1.67</v>
      </c>
    </row>
    <row r="20" spans="1:23" ht="73.5" customHeight="1" x14ac:dyDescent="0.25">
      <c r="A20" s="65" t="s">
        <v>103</v>
      </c>
      <c r="B20" s="69" t="s">
        <v>1170</v>
      </c>
      <c r="C20" s="89">
        <v>1600</v>
      </c>
      <c r="D20" s="89">
        <f>C20*50%</f>
        <v>800</v>
      </c>
      <c r="E20" s="89">
        <f>C20*30%</f>
        <v>480</v>
      </c>
      <c r="F20" s="65" t="s">
        <v>103</v>
      </c>
      <c r="G20" s="69" t="s">
        <v>1170</v>
      </c>
      <c r="H20" s="57">
        <f t="shared" si="2"/>
        <v>1760.0000000000002</v>
      </c>
      <c r="I20" s="57">
        <f t="shared" si="2"/>
        <v>880.00000000000011</v>
      </c>
      <c r="J20" s="57">
        <f t="shared" si="2"/>
        <v>528</v>
      </c>
      <c r="K20" s="76">
        <f t="shared" si="0"/>
        <v>10.000000000000014</v>
      </c>
      <c r="L20" s="92">
        <f t="shared" si="3"/>
        <v>10.000000000000014</v>
      </c>
      <c r="M20" s="93">
        <f t="shared" si="4"/>
        <v>10.000000000000014</v>
      </c>
      <c r="N20" s="65" t="s">
        <v>102</v>
      </c>
      <c r="O20" s="66"/>
      <c r="P20" s="66"/>
      <c r="Q20" s="66"/>
      <c r="R20" s="66"/>
      <c r="S20" s="66"/>
      <c r="V20" s="14"/>
      <c r="W20" s="14">
        <f t="shared" si="1"/>
        <v>1.1000000000000001</v>
      </c>
    </row>
    <row r="21" spans="1:23" ht="82.5" x14ac:dyDescent="0.25">
      <c r="A21" s="65" t="s">
        <v>104</v>
      </c>
      <c r="B21" s="62" t="s">
        <v>105</v>
      </c>
      <c r="C21" s="90">
        <v>800</v>
      </c>
      <c r="D21" s="89">
        <v>550</v>
      </c>
      <c r="E21" s="89">
        <v>320</v>
      </c>
      <c r="F21" s="65" t="s">
        <v>104</v>
      </c>
      <c r="G21" s="62" t="s">
        <v>105</v>
      </c>
      <c r="H21" s="57">
        <f t="shared" si="2"/>
        <v>880.00000000000011</v>
      </c>
      <c r="I21" s="57">
        <f t="shared" si="2"/>
        <v>605</v>
      </c>
      <c r="J21" s="57">
        <f t="shared" si="2"/>
        <v>352</v>
      </c>
      <c r="K21" s="76">
        <f t="shared" si="0"/>
        <v>10.000000000000014</v>
      </c>
      <c r="L21" s="92">
        <f t="shared" si="3"/>
        <v>10.000000000000014</v>
      </c>
      <c r="M21" s="93">
        <f t="shared" si="4"/>
        <v>10.000000000000014</v>
      </c>
      <c r="N21" s="65" t="s">
        <v>102</v>
      </c>
      <c r="O21" s="66"/>
      <c r="P21" s="66"/>
      <c r="Q21" s="66"/>
      <c r="R21" s="66"/>
      <c r="S21" s="66"/>
      <c r="V21" s="14"/>
      <c r="W21" s="14">
        <f t="shared" si="1"/>
        <v>1.1000000000000001</v>
      </c>
    </row>
    <row r="22" spans="1:23" ht="52.5" customHeight="1" x14ac:dyDescent="0.25">
      <c r="A22" s="65" t="s">
        <v>106</v>
      </c>
      <c r="B22" s="62" t="s">
        <v>107</v>
      </c>
      <c r="C22" s="90">
        <v>700</v>
      </c>
      <c r="D22" s="89">
        <v>420</v>
      </c>
      <c r="E22" s="89">
        <v>280</v>
      </c>
      <c r="F22" s="65" t="s">
        <v>106</v>
      </c>
      <c r="G22" s="62" t="s">
        <v>107</v>
      </c>
      <c r="H22" s="57">
        <f t="shared" si="2"/>
        <v>770.00000000000011</v>
      </c>
      <c r="I22" s="57">
        <f t="shared" si="2"/>
        <v>462.00000000000006</v>
      </c>
      <c r="J22" s="57">
        <f t="shared" si="2"/>
        <v>308</v>
      </c>
      <c r="K22" s="76">
        <f t="shared" si="0"/>
        <v>10.000000000000014</v>
      </c>
      <c r="L22" s="92">
        <f t="shared" si="3"/>
        <v>10.000000000000014</v>
      </c>
      <c r="M22" s="93">
        <f t="shared" si="4"/>
        <v>10.000000000000014</v>
      </c>
      <c r="N22" s="65" t="s">
        <v>102</v>
      </c>
      <c r="O22" s="66"/>
      <c r="P22" s="66"/>
      <c r="Q22" s="66"/>
      <c r="R22" s="66"/>
      <c r="S22" s="66"/>
      <c r="V22" s="14"/>
      <c r="W22" s="14">
        <f t="shared" si="1"/>
        <v>1.1000000000000001</v>
      </c>
    </row>
    <row r="23" spans="1:23" ht="83.25" customHeight="1" x14ac:dyDescent="0.25">
      <c r="A23" s="88" t="s">
        <v>108</v>
      </c>
      <c r="B23" s="96" t="s">
        <v>109</v>
      </c>
      <c r="C23" s="90">
        <v>650</v>
      </c>
      <c r="D23" s="89">
        <v>350</v>
      </c>
      <c r="E23" s="89">
        <v>280</v>
      </c>
      <c r="F23" s="88" t="s">
        <v>108</v>
      </c>
      <c r="G23" s="96" t="s">
        <v>109</v>
      </c>
      <c r="H23" s="97">
        <f t="shared" si="2"/>
        <v>715.00000000000011</v>
      </c>
      <c r="I23" s="57">
        <f t="shared" si="2"/>
        <v>385.00000000000006</v>
      </c>
      <c r="J23" s="57">
        <f t="shared" si="2"/>
        <v>308</v>
      </c>
      <c r="K23" s="76">
        <f t="shared" si="0"/>
        <v>10.000000000000014</v>
      </c>
      <c r="L23" s="92">
        <f t="shared" si="3"/>
        <v>10.000000000000014</v>
      </c>
      <c r="M23" s="93">
        <f t="shared" si="4"/>
        <v>10.000000000000014</v>
      </c>
      <c r="N23" s="65" t="s">
        <v>102</v>
      </c>
      <c r="O23" s="66"/>
      <c r="P23" s="66"/>
      <c r="Q23" s="66"/>
      <c r="R23" s="66"/>
      <c r="S23" s="66"/>
      <c r="V23" s="14"/>
      <c r="W23" s="14">
        <f t="shared" si="1"/>
        <v>1.1000000000000001</v>
      </c>
    </row>
    <row r="24" spans="1:23" ht="66" x14ac:dyDescent="0.25">
      <c r="A24" s="65" t="s">
        <v>110</v>
      </c>
      <c r="B24" s="62" t="s">
        <v>111</v>
      </c>
      <c r="C24" s="89">
        <v>550</v>
      </c>
      <c r="D24" s="89">
        <v>350</v>
      </c>
      <c r="E24" s="89">
        <v>250</v>
      </c>
      <c r="F24" s="65" t="s">
        <v>110</v>
      </c>
      <c r="G24" s="62" t="s">
        <v>111</v>
      </c>
      <c r="H24" s="57">
        <v>1100</v>
      </c>
      <c r="I24" s="57">
        <f>H24*64%</f>
        <v>704</v>
      </c>
      <c r="J24" s="57">
        <f>H24*45%</f>
        <v>495</v>
      </c>
      <c r="K24" s="76">
        <f t="shared" si="0"/>
        <v>100</v>
      </c>
      <c r="L24" s="92">
        <f t="shared" si="3"/>
        <v>100</v>
      </c>
      <c r="M24" s="93">
        <f t="shared" si="4"/>
        <v>98</v>
      </c>
      <c r="N24" s="65" t="s">
        <v>102</v>
      </c>
      <c r="O24" s="66" t="s">
        <v>113</v>
      </c>
      <c r="P24" s="66"/>
      <c r="Q24" s="94">
        <f>E24/C24*100</f>
        <v>45.454545454545453</v>
      </c>
      <c r="R24" s="66"/>
      <c r="S24" s="66"/>
      <c r="V24" s="14"/>
      <c r="W24" s="14">
        <f t="shared" si="1"/>
        <v>2</v>
      </c>
    </row>
    <row r="25" spans="1:23" ht="44.25" customHeight="1" x14ac:dyDescent="0.25">
      <c r="A25" s="289" t="s">
        <v>114</v>
      </c>
      <c r="B25" s="62" t="s">
        <v>115</v>
      </c>
      <c r="C25" s="89">
        <v>400</v>
      </c>
      <c r="D25" s="89">
        <v>280</v>
      </c>
      <c r="E25" s="89">
        <v>200</v>
      </c>
      <c r="F25" s="289" t="s">
        <v>114</v>
      </c>
      <c r="G25" s="62" t="s">
        <v>115</v>
      </c>
      <c r="H25" s="97">
        <v>590</v>
      </c>
      <c r="I25" s="57">
        <f>H25*70%</f>
        <v>413</v>
      </c>
      <c r="J25" s="57">
        <f>H25*50%</f>
        <v>295</v>
      </c>
      <c r="K25" s="76">
        <f t="shared" si="0"/>
        <v>47.5</v>
      </c>
      <c r="L25" s="92">
        <f t="shared" si="3"/>
        <v>47.5</v>
      </c>
      <c r="M25" s="93">
        <f t="shared" si="4"/>
        <v>47.5</v>
      </c>
      <c r="N25" s="65" t="s">
        <v>102</v>
      </c>
      <c r="O25" s="66"/>
      <c r="P25" s="66"/>
      <c r="Q25" s="94">
        <f>E25/C25*100</f>
        <v>50</v>
      </c>
      <c r="R25" s="66"/>
      <c r="S25" s="66"/>
      <c r="V25" s="14"/>
      <c r="W25" s="14">
        <f t="shared" si="1"/>
        <v>1.4750000000000001</v>
      </c>
    </row>
    <row r="26" spans="1:23" ht="44.25" customHeight="1" x14ac:dyDescent="0.25">
      <c r="A26" s="299"/>
      <c r="B26" s="62" t="s">
        <v>116</v>
      </c>
      <c r="C26" s="89">
        <v>300</v>
      </c>
      <c r="D26" s="89">
        <v>200</v>
      </c>
      <c r="E26" s="89">
        <v>150</v>
      </c>
      <c r="F26" s="300"/>
      <c r="G26" s="62" t="s">
        <v>116</v>
      </c>
      <c r="H26" s="97">
        <v>512</v>
      </c>
      <c r="I26" s="57">
        <f>67%*H26</f>
        <v>343.04</v>
      </c>
      <c r="J26" s="57">
        <f>H26*50%</f>
        <v>256</v>
      </c>
      <c r="K26" s="76">
        <f t="shared" si="0"/>
        <v>70.666666666666686</v>
      </c>
      <c r="L26" s="92">
        <f t="shared" si="3"/>
        <v>70.666666666666686</v>
      </c>
      <c r="M26" s="93">
        <f t="shared" si="4"/>
        <v>70.666666666666686</v>
      </c>
      <c r="N26" s="99" t="s">
        <v>117</v>
      </c>
      <c r="O26" s="66"/>
      <c r="P26" s="66"/>
      <c r="Q26" s="94">
        <f>E26/C26*100</f>
        <v>50</v>
      </c>
      <c r="R26" s="66"/>
      <c r="S26" s="66"/>
      <c r="V26" s="14"/>
      <c r="W26" s="14">
        <f t="shared" si="1"/>
        <v>1.7066666666666668</v>
      </c>
    </row>
    <row r="27" spans="1:23" ht="44.25" customHeight="1" x14ac:dyDescent="0.25">
      <c r="A27" s="299"/>
      <c r="B27" s="62" t="s">
        <v>118</v>
      </c>
      <c r="C27" s="90">
        <v>220</v>
      </c>
      <c r="D27" s="89">
        <v>140</v>
      </c>
      <c r="E27" s="89">
        <v>100</v>
      </c>
      <c r="F27" s="300"/>
      <c r="G27" s="62" t="s">
        <v>118</v>
      </c>
      <c r="H27" s="97">
        <v>400</v>
      </c>
      <c r="I27" s="57">
        <f>64%*H27</f>
        <v>256</v>
      </c>
      <c r="J27" s="57">
        <f>45%*H27</f>
        <v>180</v>
      </c>
      <c r="K27" s="76">
        <f t="shared" si="0"/>
        <v>81.818181818181813</v>
      </c>
      <c r="L27" s="92">
        <f t="shared" si="3"/>
        <v>81.818181818181813</v>
      </c>
      <c r="M27" s="93">
        <f t="shared" si="4"/>
        <v>80</v>
      </c>
      <c r="N27" s="65" t="s">
        <v>102</v>
      </c>
      <c r="O27" s="66"/>
      <c r="P27" s="66"/>
      <c r="Q27" s="94">
        <f>E27/C27*100</f>
        <v>45.454545454545453</v>
      </c>
      <c r="R27" s="66"/>
      <c r="S27" s="66"/>
      <c r="V27" s="14"/>
      <c r="W27" s="14">
        <f t="shared" si="1"/>
        <v>1.8181818181818181</v>
      </c>
    </row>
    <row r="28" spans="1:23" ht="33" x14ac:dyDescent="0.25">
      <c r="A28" s="65" t="s">
        <v>119</v>
      </c>
      <c r="B28" s="62" t="s">
        <v>53</v>
      </c>
      <c r="C28" s="89">
        <v>120</v>
      </c>
      <c r="D28" s="89">
        <v>100</v>
      </c>
      <c r="E28" s="89">
        <v>90</v>
      </c>
      <c r="F28" s="65" t="s">
        <v>119</v>
      </c>
      <c r="G28" s="62" t="s">
        <v>53</v>
      </c>
      <c r="H28" s="97">
        <f>C28*1.1</f>
        <v>132</v>
      </c>
      <c r="I28" s="57">
        <f>D28*1.1</f>
        <v>110.00000000000001</v>
      </c>
      <c r="J28" s="57">
        <f>E28*1.1</f>
        <v>99.000000000000014</v>
      </c>
      <c r="K28" s="76">
        <f t="shared" si="0"/>
        <v>10.000000000000014</v>
      </c>
      <c r="L28" s="92">
        <f t="shared" si="3"/>
        <v>10.000000000000014</v>
      </c>
      <c r="M28" s="93">
        <f t="shared" si="4"/>
        <v>10.000000000000014</v>
      </c>
      <c r="N28" s="65" t="s">
        <v>102</v>
      </c>
      <c r="O28" s="66"/>
      <c r="P28" s="100">
        <f>H28/C28</f>
        <v>1.1000000000000001</v>
      </c>
      <c r="Q28" s="66"/>
      <c r="R28" s="66"/>
      <c r="S28" s="66"/>
      <c r="V28" s="14"/>
      <c r="W28" s="14">
        <f t="shared" si="1"/>
        <v>1.1000000000000001</v>
      </c>
    </row>
    <row r="29" spans="1:23" ht="63.75" customHeight="1" x14ac:dyDescent="0.25">
      <c r="A29" s="65" t="s">
        <v>120</v>
      </c>
      <c r="B29" s="62" t="s">
        <v>121</v>
      </c>
      <c r="C29" s="89">
        <v>1500</v>
      </c>
      <c r="D29" s="89">
        <v>750</v>
      </c>
      <c r="E29" s="89">
        <v>450</v>
      </c>
      <c r="F29" s="65" t="s">
        <v>122</v>
      </c>
      <c r="G29" s="62" t="s">
        <v>121</v>
      </c>
      <c r="H29" s="57">
        <v>2680</v>
      </c>
      <c r="I29" s="57">
        <f>D29*1.79</f>
        <v>1342.5</v>
      </c>
      <c r="J29" s="57">
        <f>E29*1.79</f>
        <v>805.5</v>
      </c>
      <c r="K29" s="76">
        <f t="shared" si="0"/>
        <v>78.666666666666657</v>
      </c>
      <c r="L29" s="92">
        <f t="shared" si="3"/>
        <v>78.666666666666657</v>
      </c>
      <c r="M29" s="93">
        <f t="shared" si="4"/>
        <v>79</v>
      </c>
      <c r="N29" s="65" t="s">
        <v>102</v>
      </c>
      <c r="O29" s="94">
        <f>H29/C29</f>
        <v>1.7866666666666666</v>
      </c>
      <c r="P29" s="66"/>
      <c r="Q29" s="66"/>
      <c r="R29" s="66"/>
      <c r="S29" s="66"/>
      <c r="V29" s="14"/>
      <c r="W29" s="14">
        <f t="shared" si="1"/>
        <v>1.7866666666666666</v>
      </c>
    </row>
    <row r="30" spans="1:23" ht="33" x14ac:dyDescent="0.25">
      <c r="A30" s="65" t="s">
        <v>122</v>
      </c>
      <c r="B30" s="69" t="s">
        <v>123</v>
      </c>
      <c r="C30" s="89"/>
      <c r="D30" s="89"/>
      <c r="E30" s="89"/>
      <c r="F30" s="65" t="s">
        <v>1065</v>
      </c>
      <c r="G30" s="69" t="s">
        <v>123</v>
      </c>
      <c r="H30" s="89"/>
      <c r="I30" s="89"/>
      <c r="J30" s="89"/>
      <c r="K30" s="76"/>
      <c r="L30" s="92"/>
      <c r="M30" s="93"/>
      <c r="N30" s="65"/>
      <c r="O30" s="101"/>
      <c r="P30" s="66"/>
      <c r="Q30" s="66"/>
      <c r="R30" s="66"/>
      <c r="S30" s="66"/>
      <c r="V30" s="14"/>
      <c r="W30" s="14" t="e">
        <f t="shared" si="1"/>
        <v>#DIV/0!</v>
      </c>
    </row>
    <row r="31" spans="1:23" ht="24.95" customHeight="1" x14ac:dyDescent="0.25">
      <c r="A31" s="90"/>
      <c r="B31" s="62" t="s">
        <v>124</v>
      </c>
      <c r="C31" s="89">
        <v>6500</v>
      </c>
      <c r="D31" s="89"/>
      <c r="E31" s="89"/>
      <c r="F31" s="65" t="s">
        <v>1297</v>
      </c>
      <c r="G31" s="62" t="s">
        <v>124</v>
      </c>
      <c r="H31" s="57">
        <v>7180</v>
      </c>
      <c r="I31" s="89"/>
      <c r="J31" s="89"/>
      <c r="K31" s="76">
        <f t="shared" si="0"/>
        <v>10.461538461538453</v>
      </c>
      <c r="L31" s="92"/>
      <c r="M31" s="93"/>
      <c r="N31" s="65" t="s">
        <v>102</v>
      </c>
      <c r="O31" s="66"/>
      <c r="P31" s="66"/>
      <c r="Q31" s="66"/>
      <c r="R31" s="66"/>
      <c r="S31" s="66"/>
      <c r="V31" s="14"/>
      <c r="W31" s="14">
        <f t="shared" si="1"/>
        <v>1.1046153846153846</v>
      </c>
    </row>
    <row r="32" spans="1:23" ht="24.95" customHeight="1" x14ac:dyDescent="0.25">
      <c r="A32" s="90"/>
      <c r="B32" s="62" t="s">
        <v>125</v>
      </c>
      <c r="C32" s="89">
        <v>5650</v>
      </c>
      <c r="D32" s="89"/>
      <c r="E32" s="89"/>
      <c r="F32" s="65" t="s">
        <v>1298</v>
      </c>
      <c r="G32" s="62" t="s">
        <v>125</v>
      </c>
      <c r="H32" s="57">
        <v>6223</v>
      </c>
      <c r="I32" s="89"/>
      <c r="J32" s="89"/>
      <c r="K32" s="76">
        <f t="shared" si="0"/>
        <v>10.141592920353986</v>
      </c>
      <c r="L32" s="92"/>
      <c r="M32" s="93"/>
      <c r="N32" s="65" t="s">
        <v>102</v>
      </c>
      <c r="O32" s="66"/>
      <c r="P32" s="66"/>
      <c r="Q32" s="66"/>
      <c r="R32" s="66"/>
      <c r="S32" s="66"/>
      <c r="V32" s="14"/>
      <c r="W32" s="14">
        <f t="shared" si="1"/>
        <v>1.1014159292035399</v>
      </c>
    </row>
    <row r="33" spans="1:23" ht="24.95" customHeight="1" x14ac:dyDescent="0.25">
      <c r="A33" s="90"/>
      <c r="B33" s="62" t="s">
        <v>126</v>
      </c>
      <c r="C33" s="89">
        <v>5250</v>
      </c>
      <c r="D33" s="89"/>
      <c r="E33" s="89"/>
      <c r="F33" s="65" t="s">
        <v>1299</v>
      </c>
      <c r="G33" s="62" t="s">
        <v>126</v>
      </c>
      <c r="H33" s="57">
        <v>5777</v>
      </c>
      <c r="I33" s="89"/>
      <c r="J33" s="89"/>
      <c r="K33" s="76">
        <f t="shared" si="0"/>
        <v>10.038095238095252</v>
      </c>
      <c r="L33" s="92"/>
      <c r="M33" s="93"/>
      <c r="N33" s="65" t="s">
        <v>102</v>
      </c>
      <c r="O33" s="66"/>
      <c r="P33" s="66"/>
      <c r="Q33" s="66"/>
      <c r="R33" s="66"/>
      <c r="S33" s="66"/>
      <c r="V33" s="14"/>
      <c r="W33" s="14">
        <f t="shared" si="1"/>
        <v>1.1003809523809525</v>
      </c>
    </row>
    <row r="34" spans="1:23" ht="24.95" customHeight="1" x14ac:dyDescent="0.25">
      <c r="A34" s="90"/>
      <c r="B34" s="62" t="s">
        <v>127</v>
      </c>
      <c r="C34" s="89">
        <v>4700</v>
      </c>
      <c r="D34" s="89"/>
      <c r="E34" s="89"/>
      <c r="F34" s="65" t="s">
        <v>1300</v>
      </c>
      <c r="G34" s="62" t="s">
        <v>127</v>
      </c>
      <c r="H34" s="57">
        <v>5197</v>
      </c>
      <c r="I34" s="89"/>
      <c r="J34" s="89"/>
      <c r="K34" s="76">
        <f t="shared" si="0"/>
        <v>10.574468085106375</v>
      </c>
      <c r="L34" s="92"/>
      <c r="M34" s="93"/>
      <c r="N34" s="65" t="s">
        <v>102</v>
      </c>
      <c r="O34" s="66"/>
      <c r="P34" s="66"/>
      <c r="Q34" s="66"/>
      <c r="R34" s="66"/>
      <c r="S34" s="66"/>
      <c r="V34" s="14"/>
      <c r="W34" s="14">
        <f t="shared" si="1"/>
        <v>1.1057446808510638</v>
      </c>
    </row>
    <row r="35" spans="1:23" ht="24.95" customHeight="1" x14ac:dyDescent="0.25">
      <c r="A35" s="90"/>
      <c r="B35" s="62" t="s">
        <v>128</v>
      </c>
      <c r="C35" s="89">
        <v>3700</v>
      </c>
      <c r="D35" s="89"/>
      <c r="E35" s="89"/>
      <c r="F35" s="65" t="s">
        <v>1301</v>
      </c>
      <c r="G35" s="62" t="s">
        <v>128</v>
      </c>
      <c r="H35" s="57">
        <v>4090</v>
      </c>
      <c r="I35" s="89"/>
      <c r="J35" s="89"/>
      <c r="K35" s="76">
        <f t="shared" si="0"/>
        <v>10.540540540540547</v>
      </c>
      <c r="L35" s="92"/>
      <c r="M35" s="93"/>
      <c r="N35" s="65" t="s">
        <v>102</v>
      </c>
      <c r="O35" s="66"/>
      <c r="P35" s="66"/>
      <c r="Q35" s="66"/>
      <c r="R35" s="66"/>
      <c r="S35" s="66"/>
      <c r="V35" s="14"/>
      <c r="W35" s="14">
        <f t="shared" si="1"/>
        <v>1.1054054054054054</v>
      </c>
    </row>
    <row r="36" spans="1:23" ht="24.95" customHeight="1" x14ac:dyDescent="0.25">
      <c r="A36" s="90"/>
      <c r="B36" s="62" t="s">
        <v>129</v>
      </c>
      <c r="C36" s="89">
        <v>3400</v>
      </c>
      <c r="D36" s="89"/>
      <c r="E36" s="89"/>
      <c r="F36" s="65" t="s">
        <v>1302</v>
      </c>
      <c r="G36" s="62" t="s">
        <v>129</v>
      </c>
      <c r="H36" s="57">
        <v>3760</v>
      </c>
      <c r="I36" s="89"/>
      <c r="J36" s="89"/>
      <c r="K36" s="76">
        <f t="shared" si="0"/>
        <v>10.588235294117652</v>
      </c>
      <c r="L36" s="92"/>
      <c r="M36" s="93"/>
      <c r="N36" s="65" t="s">
        <v>102</v>
      </c>
      <c r="O36" s="66"/>
      <c r="P36" s="66"/>
      <c r="Q36" s="66"/>
      <c r="R36" s="66"/>
      <c r="S36" s="66"/>
      <c r="V36" s="14"/>
      <c r="W36" s="14">
        <f t="shared" si="1"/>
        <v>1.1058823529411765</v>
      </c>
    </row>
    <row r="37" spans="1:23" ht="42" customHeight="1" x14ac:dyDescent="0.25">
      <c r="A37" s="90"/>
      <c r="B37" s="62" t="s">
        <v>130</v>
      </c>
      <c r="C37" s="89">
        <v>3250</v>
      </c>
      <c r="D37" s="89"/>
      <c r="E37" s="89"/>
      <c r="F37" s="65" t="s">
        <v>1303</v>
      </c>
      <c r="G37" s="62" t="s">
        <v>1292</v>
      </c>
      <c r="H37" s="57">
        <v>3580</v>
      </c>
      <c r="I37" s="89"/>
      <c r="J37" s="89"/>
      <c r="K37" s="76">
        <f t="shared" si="0"/>
        <v>10.15384615384616</v>
      </c>
      <c r="L37" s="92"/>
      <c r="M37" s="93"/>
      <c r="N37" s="65" t="s">
        <v>102</v>
      </c>
      <c r="O37" s="66"/>
      <c r="P37" s="66"/>
      <c r="Q37" s="66"/>
      <c r="R37" s="66"/>
      <c r="S37" s="66"/>
      <c r="V37" s="14"/>
      <c r="W37" s="14">
        <f t="shared" si="1"/>
        <v>1.1015384615384616</v>
      </c>
    </row>
    <row r="38" spans="1:23" ht="30.75" customHeight="1" x14ac:dyDescent="0.25">
      <c r="A38" s="90"/>
      <c r="B38" s="62" t="s">
        <v>131</v>
      </c>
      <c r="C38" s="89">
        <v>3150</v>
      </c>
      <c r="D38" s="89"/>
      <c r="E38" s="89"/>
      <c r="F38" s="65" t="s">
        <v>1304</v>
      </c>
      <c r="G38" s="62" t="s">
        <v>131</v>
      </c>
      <c r="H38" s="57">
        <v>3480</v>
      </c>
      <c r="I38" s="89"/>
      <c r="J38" s="89"/>
      <c r="K38" s="76">
        <f t="shared" si="0"/>
        <v>10.476190476190482</v>
      </c>
      <c r="L38" s="92"/>
      <c r="M38" s="93"/>
      <c r="N38" s="65" t="s">
        <v>102</v>
      </c>
      <c r="O38" s="66"/>
      <c r="P38" s="66"/>
      <c r="Q38" s="102"/>
      <c r="R38" s="66"/>
      <c r="S38" s="66"/>
      <c r="V38" s="14"/>
      <c r="W38" s="14">
        <f t="shared" si="1"/>
        <v>1.1047619047619048</v>
      </c>
    </row>
    <row r="39" spans="1:23" ht="39" customHeight="1" x14ac:dyDescent="0.25">
      <c r="A39" s="90"/>
      <c r="B39" s="62" t="s">
        <v>132</v>
      </c>
      <c r="C39" s="89">
        <v>3040</v>
      </c>
      <c r="D39" s="89"/>
      <c r="E39" s="89"/>
      <c r="F39" s="65" t="s">
        <v>1308</v>
      </c>
      <c r="G39" s="62" t="s">
        <v>1293</v>
      </c>
      <c r="H39" s="57">
        <f t="shared" ref="H39" si="5">C39*1.1</f>
        <v>3344.0000000000005</v>
      </c>
      <c r="I39" s="89"/>
      <c r="J39" s="89"/>
      <c r="K39" s="76">
        <f t="shared" si="0"/>
        <v>10.000000000000014</v>
      </c>
      <c r="L39" s="92"/>
      <c r="M39" s="93"/>
      <c r="N39" s="65" t="s">
        <v>102</v>
      </c>
      <c r="O39" s="66"/>
      <c r="P39" s="66"/>
      <c r="Q39" s="66"/>
      <c r="R39" s="66"/>
      <c r="S39" s="66"/>
      <c r="V39" s="14"/>
      <c r="W39" s="14">
        <f t="shared" si="1"/>
        <v>1.1000000000000001</v>
      </c>
    </row>
    <row r="40" spans="1:23" s="16" customFormat="1" ht="21" customHeight="1" x14ac:dyDescent="0.25">
      <c r="A40" s="82">
        <v>2</v>
      </c>
      <c r="B40" s="69" t="s">
        <v>133</v>
      </c>
      <c r="C40" s="89"/>
      <c r="D40" s="89"/>
      <c r="E40" s="89"/>
      <c r="F40" s="82">
        <v>2</v>
      </c>
      <c r="G40" s="69" t="s">
        <v>133</v>
      </c>
      <c r="H40" s="89"/>
      <c r="I40" s="89"/>
      <c r="J40" s="89"/>
      <c r="K40" s="76"/>
      <c r="L40" s="92"/>
      <c r="M40" s="93"/>
      <c r="N40" s="82"/>
      <c r="O40" s="83"/>
      <c r="P40" s="83"/>
      <c r="Q40" s="83"/>
      <c r="R40" s="83"/>
      <c r="S40" s="83"/>
      <c r="V40" s="14"/>
      <c r="W40" s="14" t="e">
        <f t="shared" si="1"/>
        <v>#DIV/0!</v>
      </c>
    </row>
    <row r="41" spans="1:23" ht="41.25" customHeight="1" x14ac:dyDescent="0.25">
      <c r="A41" s="65" t="s">
        <v>134</v>
      </c>
      <c r="B41" s="69" t="s">
        <v>1171</v>
      </c>
      <c r="C41" s="89">
        <v>1800</v>
      </c>
      <c r="D41" s="89">
        <v>1050</v>
      </c>
      <c r="E41" s="89">
        <v>550</v>
      </c>
      <c r="F41" s="65" t="s">
        <v>134</v>
      </c>
      <c r="G41" s="103" t="s">
        <v>135</v>
      </c>
      <c r="H41" s="57">
        <v>2000</v>
      </c>
      <c r="I41" s="57">
        <f>D41*1.11</f>
        <v>1165.5</v>
      </c>
      <c r="J41" s="57">
        <f>E41*1.11</f>
        <v>610.5</v>
      </c>
      <c r="K41" s="76">
        <f t="shared" si="0"/>
        <v>11.111111111111114</v>
      </c>
      <c r="L41" s="92">
        <f>(I41/D41)*100-100</f>
        <v>11.000000000000014</v>
      </c>
      <c r="M41" s="93">
        <f t="shared" si="4"/>
        <v>11.000000000000014</v>
      </c>
      <c r="N41" s="65" t="s">
        <v>1012</v>
      </c>
      <c r="O41" s="66"/>
      <c r="P41" s="94">
        <f>H41/C41</f>
        <v>1.1111111111111112</v>
      </c>
      <c r="Q41" s="66"/>
      <c r="R41" s="66"/>
      <c r="S41" s="66"/>
      <c r="V41" s="14"/>
      <c r="W41" s="14">
        <f t="shared" si="1"/>
        <v>1.1111111111111112</v>
      </c>
    </row>
    <row r="42" spans="1:23" ht="54.75" customHeight="1" x14ac:dyDescent="0.25">
      <c r="A42" s="65" t="s">
        <v>29</v>
      </c>
      <c r="B42" s="69" t="s">
        <v>1172</v>
      </c>
      <c r="C42" s="89">
        <v>5000</v>
      </c>
      <c r="D42" s="89">
        <f>C42*50%</f>
        <v>2500</v>
      </c>
      <c r="E42" s="89">
        <v>1400</v>
      </c>
      <c r="F42" s="65" t="s">
        <v>29</v>
      </c>
      <c r="G42" s="103" t="s">
        <v>137</v>
      </c>
      <c r="H42" s="57">
        <f t="shared" ref="H42:J45" si="6">C42*1.1</f>
        <v>5500</v>
      </c>
      <c r="I42" s="57">
        <f t="shared" si="6"/>
        <v>2750</v>
      </c>
      <c r="J42" s="57">
        <f t="shared" si="6"/>
        <v>1540.0000000000002</v>
      </c>
      <c r="K42" s="76">
        <f t="shared" si="0"/>
        <v>10.000000000000014</v>
      </c>
      <c r="L42" s="92">
        <f t="shared" si="0"/>
        <v>10.000000000000014</v>
      </c>
      <c r="M42" s="93">
        <f t="shared" si="4"/>
        <v>10.000000000000014</v>
      </c>
      <c r="N42" s="65" t="s">
        <v>1012</v>
      </c>
      <c r="O42" s="66"/>
      <c r="P42" s="66"/>
      <c r="Q42" s="66"/>
      <c r="R42" s="66"/>
      <c r="S42" s="66"/>
      <c r="V42" s="14"/>
      <c r="W42" s="14">
        <f t="shared" si="1"/>
        <v>1.1000000000000001</v>
      </c>
    </row>
    <row r="43" spans="1:23" ht="57" customHeight="1" x14ac:dyDescent="0.25">
      <c r="A43" s="65" t="s">
        <v>138</v>
      </c>
      <c r="B43" s="69" t="s">
        <v>1173</v>
      </c>
      <c r="C43" s="89">
        <v>600</v>
      </c>
      <c r="D43" s="89">
        <v>350</v>
      </c>
      <c r="E43" s="89">
        <v>250</v>
      </c>
      <c r="F43" s="65" t="s">
        <v>138</v>
      </c>
      <c r="G43" s="69" t="s">
        <v>1173</v>
      </c>
      <c r="H43" s="57">
        <v>680</v>
      </c>
      <c r="I43" s="57">
        <f>D43*1.13</f>
        <v>395.49999999999994</v>
      </c>
      <c r="J43" s="57">
        <f>E43*1.13</f>
        <v>282.5</v>
      </c>
      <c r="K43" s="76">
        <f t="shared" si="0"/>
        <v>13.333333333333329</v>
      </c>
      <c r="L43" s="92">
        <f t="shared" si="0"/>
        <v>12.999999999999986</v>
      </c>
      <c r="M43" s="93">
        <f t="shared" si="4"/>
        <v>12.999999999999986</v>
      </c>
      <c r="N43" s="65" t="s">
        <v>102</v>
      </c>
      <c r="O43" s="66"/>
      <c r="P43" s="94">
        <f>H43/C43</f>
        <v>1.1333333333333333</v>
      </c>
      <c r="Q43" s="66"/>
      <c r="R43" s="66"/>
      <c r="S43" s="66"/>
      <c r="V43" s="14"/>
      <c r="W43" s="14">
        <f t="shared" si="1"/>
        <v>1.1333333333333333</v>
      </c>
    </row>
    <row r="44" spans="1:23" ht="57" customHeight="1" x14ac:dyDescent="0.25">
      <c r="A44" s="65" t="s">
        <v>139</v>
      </c>
      <c r="B44" s="69" t="s">
        <v>1174</v>
      </c>
      <c r="C44" s="89">
        <v>950</v>
      </c>
      <c r="D44" s="89">
        <v>650</v>
      </c>
      <c r="E44" s="89">
        <v>450</v>
      </c>
      <c r="F44" s="65" t="s">
        <v>139</v>
      </c>
      <c r="G44" s="69" t="s">
        <v>1174</v>
      </c>
      <c r="H44" s="57">
        <v>1050</v>
      </c>
      <c r="I44" s="57">
        <f>D44*1.11</f>
        <v>721.50000000000011</v>
      </c>
      <c r="J44" s="57">
        <f>E44*1.11</f>
        <v>499.50000000000006</v>
      </c>
      <c r="K44" s="76">
        <f t="shared" si="0"/>
        <v>10.526315789473699</v>
      </c>
      <c r="L44" s="92">
        <f t="shared" si="0"/>
        <v>11.000000000000014</v>
      </c>
      <c r="M44" s="93">
        <f t="shared" si="4"/>
        <v>11.000000000000014</v>
      </c>
      <c r="N44" s="65" t="s">
        <v>102</v>
      </c>
      <c r="O44" s="66"/>
      <c r="P44" s="94">
        <f>H44/C44</f>
        <v>1.1052631578947369</v>
      </c>
      <c r="Q44" s="66"/>
      <c r="R44" s="66"/>
      <c r="S44" s="66"/>
      <c r="V44" s="14"/>
      <c r="W44" s="14">
        <f t="shared" si="1"/>
        <v>1.1052631578947369</v>
      </c>
    </row>
    <row r="45" spans="1:23" ht="77.25" customHeight="1" x14ac:dyDescent="0.25">
      <c r="A45" s="65" t="s">
        <v>140</v>
      </c>
      <c r="B45" s="69" t="s">
        <v>1175</v>
      </c>
      <c r="C45" s="89">
        <v>700</v>
      </c>
      <c r="D45" s="89">
        <v>420</v>
      </c>
      <c r="E45" s="89">
        <v>280</v>
      </c>
      <c r="F45" s="65" t="s">
        <v>140</v>
      </c>
      <c r="G45" s="69" t="s">
        <v>1175</v>
      </c>
      <c r="H45" s="57">
        <f t="shared" si="6"/>
        <v>770.00000000000011</v>
      </c>
      <c r="I45" s="57">
        <f t="shared" si="6"/>
        <v>462.00000000000006</v>
      </c>
      <c r="J45" s="57">
        <f t="shared" si="6"/>
        <v>308</v>
      </c>
      <c r="K45" s="76">
        <f t="shared" si="0"/>
        <v>10.000000000000014</v>
      </c>
      <c r="L45" s="92">
        <f t="shared" si="0"/>
        <v>10.000000000000014</v>
      </c>
      <c r="M45" s="93">
        <f t="shared" si="4"/>
        <v>10.000000000000014</v>
      </c>
      <c r="N45" s="65" t="s">
        <v>102</v>
      </c>
      <c r="O45" s="66"/>
      <c r="P45" s="66"/>
      <c r="Q45" s="66"/>
      <c r="R45" s="66"/>
      <c r="S45" s="66"/>
      <c r="V45" s="14"/>
      <c r="W45" s="14">
        <f t="shared" si="1"/>
        <v>1.1000000000000001</v>
      </c>
    </row>
    <row r="46" spans="1:23" ht="62.25" customHeight="1" x14ac:dyDescent="0.25">
      <c r="A46" s="65" t="s">
        <v>141</v>
      </c>
      <c r="B46" s="69" t="s">
        <v>1176</v>
      </c>
      <c r="C46" s="89">
        <v>200</v>
      </c>
      <c r="D46" s="89">
        <v>140</v>
      </c>
      <c r="E46" s="89">
        <v>100</v>
      </c>
      <c r="F46" s="65" t="s">
        <v>141</v>
      </c>
      <c r="G46" s="103" t="s">
        <v>142</v>
      </c>
      <c r="H46" s="57">
        <v>230</v>
      </c>
      <c r="I46" s="57">
        <f>D46*1.15</f>
        <v>161</v>
      </c>
      <c r="J46" s="57">
        <f>E46*1.15</f>
        <v>114.99999999999999</v>
      </c>
      <c r="K46" s="76">
        <f t="shared" si="0"/>
        <v>14.999999999999986</v>
      </c>
      <c r="L46" s="92">
        <f t="shared" si="0"/>
        <v>14.999999999999986</v>
      </c>
      <c r="M46" s="93">
        <f t="shared" si="4"/>
        <v>14.999999999999986</v>
      </c>
      <c r="N46" s="65" t="s">
        <v>1012</v>
      </c>
      <c r="O46" s="66"/>
      <c r="P46" s="66">
        <f>H46/C46</f>
        <v>1.1499999999999999</v>
      </c>
      <c r="Q46" s="66"/>
      <c r="R46" s="66"/>
      <c r="S46" s="66"/>
      <c r="V46" s="14"/>
      <c r="W46" s="14">
        <f t="shared" si="1"/>
        <v>1.1499999999999999</v>
      </c>
    </row>
    <row r="47" spans="1:23" ht="60.75" customHeight="1" x14ac:dyDescent="0.25">
      <c r="A47" s="65" t="s">
        <v>143</v>
      </c>
      <c r="B47" s="69" t="s">
        <v>1177</v>
      </c>
      <c r="C47" s="89">
        <v>270</v>
      </c>
      <c r="D47" s="89">
        <v>170</v>
      </c>
      <c r="E47" s="89">
        <v>130</v>
      </c>
      <c r="F47" s="65" t="s">
        <v>143</v>
      </c>
      <c r="G47" s="62" t="s">
        <v>144</v>
      </c>
      <c r="H47" s="57">
        <v>800</v>
      </c>
      <c r="I47" s="57">
        <f>D47*2.96</f>
        <v>503.2</v>
      </c>
      <c r="J47" s="57">
        <f>E47*2.96</f>
        <v>384.8</v>
      </c>
      <c r="K47" s="76">
        <f t="shared" si="0"/>
        <v>196.2962962962963</v>
      </c>
      <c r="L47" s="92">
        <f t="shared" si="0"/>
        <v>196</v>
      </c>
      <c r="M47" s="93">
        <f t="shared" si="4"/>
        <v>196</v>
      </c>
      <c r="N47" s="65" t="s">
        <v>1013</v>
      </c>
      <c r="O47" s="66"/>
      <c r="P47" s="94">
        <f>H47/C47</f>
        <v>2.9629629629629628</v>
      </c>
      <c r="Q47" s="66"/>
      <c r="R47" s="66"/>
      <c r="S47" s="66"/>
      <c r="V47" s="14"/>
      <c r="W47" s="14">
        <f t="shared" si="1"/>
        <v>2.9629629629629628</v>
      </c>
    </row>
    <row r="48" spans="1:23" ht="49.5" x14ac:dyDescent="0.25">
      <c r="A48" s="65" t="s">
        <v>145</v>
      </c>
      <c r="B48" s="62" t="s">
        <v>146</v>
      </c>
      <c r="C48" s="89">
        <v>1200</v>
      </c>
      <c r="D48" s="89">
        <v>680</v>
      </c>
      <c r="E48" s="89">
        <f>C48*30%</f>
        <v>360</v>
      </c>
      <c r="F48" s="65" t="s">
        <v>145</v>
      </c>
      <c r="G48" s="62" t="s">
        <v>146</v>
      </c>
      <c r="H48" s="57">
        <v>1330</v>
      </c>
      <c r="I48" s="57">
        <f>D48*1.11</f>
        <v>754.80000000000007</v>
      </c>
      <c r="J48" s="57">
        <f>E48*1.11</f>
        <v>399.6</v>
      </c>
      <c r="K48" s="76">
        <f t="shared" si="0"/>
        <v>10.833333333333343</v>
      </c>
      <c r="L48" s="92">
        <f t="shared" si="0"/>
        <v>11.000000000000014</v>
      </c>
      <c r="M48" s="93">
        <f t="shared" si="4"/>
        <v>11.000000000000014</v>
      </c>
      <c r="N48" s="65" t="s">
        <v>102</v>
      </c>
      <c r="O48" s="66"/>
      <c r="P48" s="94">
        <f>H48/C48</f>
        <v>1.1083333333333334</v>
      </c>
      <c r="Q48" s="66"/>
      <c r="R48" s="66"/>
      <c r="S48" s="66"/>
      <c r="V48" s="14"/>
      <c r="W48" s="14">
        <f t="shared" si="1"/>
        <v>1.1083333333333334</v>
      </c>
    </row>
    <row r="49" spans="1:23" ht="44.25" customHeight="1" x14ac:dyDescent="0.25">
      <c r="A49" s="289" t="s">
        <v>147</v>
      </c>
      <c r="B49" s="62" t="s">
        <v>115</v>
      </c>
      <c r="C49" s="89">
        <v>300</v>
      </c>
      <c r="D49" s="89">
        <v>200</v>
      </c>
      <c r="E49" s="89">
        <v>150</v>
      </c>
      <c r="F49" s="289" t="s">
        <v>147</v>
      </c>
      <c r="G49" s="62" t="s">
        <v>115</v>
      </c>
      <c r="H49" s="57">
        <v>800</v>
      </c>
      <c r="I49" s="57">
        <f>H49*67%</f>
        <v>536</v>
      </c>
      <c r="J49" s="57">
        <f>H49*50%</f>
        <v>400</v>
      </c>
      <c r="K49" s="76">
        <f t="shared" si="0"/>
        <v>166.66666666666663</v>
      </c>
      <c r="L49" s="92">
        <f t="shared" si="0"/>
        <v>168</v>
      </c>
      <c r="M49" s="93">
        <f t="shared" si="4"/>
        <v>166.66666666666663</v>
      </c>
      <c r="N49" s="65" t="s">
        <v>102</v>
      </c>
      <c r="O49" s="66"/>
      <c r="P49" s="66"/>
      <c r="Q49" s="66">
        <f>E49/C49*100</f>
        <v>50</v>
      </c>
      <c r="R49" s="66"/>
      <c r="S49" s="66"/>
      <c r="V49" s="14"/>
      <c r="W49" s="14">
        <f t="shared" si="1"/>
        <v>2.6666666666666665</v>
      </c>
    </row>
    <row r="50" spans="1:23" ht="44.25" customHeight="1" x14ac:dyDescent="0.25">
      <c r="A50" s="289"/>
      <c r="B50" s="62" t="s">
        <v>116</v>
      </c>
      <c r="C50" s="89">
        <v>220</v>
      </c>
      <c r="D50" s="89">
        <v>150</v>
      </c>
      <c r="E50" s="89">
        <v>120</v>
      </c>
      <c r="F50" s="289"/>
      <c r="G50" s="62" t="s">
        <v>116</v>
      </c>
      <c r="H50" s="57">
        <v>734</v>
      </c>
      <c r="I50" s="57">
        <f>H50*68%</f>
        <v>499.12000000000006</v>
      </c>
      <c r="J50" s="57">
        <f>54%*H50</f>
        <v>396.36</v>
      </c>
      <c r="K50" s="76">
        <f t="shared" si="0"/>
        <v>233.63636363636363</v>
      </c>
      <c r="L50" s="92">
        <f t="shared" si="0"/>
        <v>232.74666666666673</v>
      </c>
      <c r="M50" s="93">
        <f t="shared" si="4"/>
        <v>230.3</v>
      </c>
      <c r="N50" s="99" t="s">
        <v>148</v>
      </c>
      <c r="O50" s="66"/>
      <c r="P50" s="94"/>
      <c r="Q50" s="66">
        <f>E50/C50*100</f>
        <v>54.54545454545454</v>
      </c>
      <c r="R50" s="66"/>
      <c r="S50" s="66"/>
      <c r="V50" s="14"/>
      <c r="W50" s="14">
        <f t="shared" si="1"/>
        <v>3.3363636363636364</v>
      </c>
    </row>
    <row r="51" spans="1:23" ht="44.25" customHeight="1" x14ac:dyDescent="0.25">
      <c r="A51" s="289"/>
      <c r="B51" s="62" t="s">
        <v>118</v>
      </c>
      <c r="C51" s="89">
        <v>200</v>
      </c>
      <c r="D51" s="89">
        <v>130</v>
      </c>
      <c r="E51" s="89">
        <v>100</v>
      </c>
      <c r="F51" s="289"/>
      <c r="G51" s="62" t="s">
        <v>118</v>
      </c>
      <c r="H51" s="57">
        <v>600</v>
      </c>
      <c r="I51" s="57">
        <f>H51*65%</f>
        <v>390</v>
      </c>
      <c r="J51" s="57">
        <f>H51*50%</f>
        <v>300</v>
      </c>
      <c r="K51" s="76">
        <f t="shared" si="0"/>
        <v>200</v>
      </c>
      <c r="L51" s="92">
        <f t="shared" si="0"/>
        <v>200</v>
      </c>
      <c r="M51" s="93">
        <f t="shared" si="4"/>
        <v>200</v>
      </c>
      <c r="N51" s="65" t="s">
        <v>102</v>
      </c>
      <c r="O51" s="66"/>
      <c r="P51" s="66"/>
      <c r="Q51" s="66">
        <f>E51/C51*100</f>
        <v>50</v>
      </c>
      <c r="R51" s="66"/>
      <c r="S51" s="66"/>
      <c r="V51" s="14"/>
      <c r="W51" s="14">
        <f t="shared" si="1"/>
        <v>3</v>
      </c>
    </row>
    <row r="52" spans="1:23" ht="33" x14ac:dyDescent="0.25">
      <c r="A52" s="65" t="s">
        <v>149</v>
      </c>
      <c r="B52" s="62" t="s">
        <v>53</v>
      </c>
      <c r="C52" s="89">
        <v>120</v>
      </c>
      <c r="D52" s="89">
        <v>100</v>
      </c>
      <c r="E52" s="89">
        <v>90</v>
      </c>
      <c r="F52" s="65" t="s">
        <v>149</v>
      </c>
      <c r="G52" s="62" t="s">
        <v>53</v>
      </c>
      <c r="H52" s="57">
        <f>C52*1.1</f>
        <v>132</v>
      </c>
      <c r="I52" s="57">
        <f>D52*1.1</f>
        <v>110.00000000000001</v>
      </c>
      <c r="J52" s="57">
        <f>E52*1.1</f>
        <v>99.000000000000014</v>
      </c>
      <c r="K52" s="76">
        <f t="shared" si="0"/>
        <v>10.000000000000014</v>
      </c>
      <c r="L52" s="92">
        <f t="shared" si="0"/>
        <v>10.000000000000014</v>
      </c>
      <c r="M52" s="93">
        <f t="shared" si="4"/>
        <v>10.000000000000014</v>
      </c>
      <c r="N52" s="65" t="s">
        <v>102</v>
      </c>
      <c r="O52" s="66"/>
      <c r="P52" s="66"/>
      <c r="Q52" s="66"/>
      <c r="R52" s="66"/>
      <c r="S52" s="66"/>
      <c r="V52" s="14"/>
      <c r="W52" s="14">
        <f t="shared" si="1"/>
        <v>1.1000000000000001</v>
      </c>
    </row>
    <row r="53" spans="1:23" ht="24.75" customHeight="1" x14ac:dyDescent="0.25">
      <c r="A53" s="82">
        <v>3</v>
      </c>
      <c r="B53" s="69" t="s">
        <v>150</v>
      </c>
      <c r="C53" s="89"/>
      <c r="D53" s="89"/>
      <c r="E53" s="89"/>
      <c r="F53" s="82">
        <v>3</v>
      </c>
      <c r="G53" s="69" t="s">
        <v>150</v>
      </c>
      <c r="H53" s="89"/>
      <c r="I53" s="89"/>
      <c r="J53" s="89"/>
      <c r="K53" s="76"/>
      <c r="L53" s="92"/>
      <c r="M53" s="93"/>
      <c r="N53" s="65"/>
      <c r="O53" s="66"/>
      <c r="P53" s="66"/>
      <c r="Q53" s="66"/>
      <c r="R53" s="66"/>
      <c r="S53" s="66"/>
      <c r="V53" s="14"/>
      <c r="W53" s="14" t="e">
        <f t="shared" si="1"/>
        <v>#DIV/0!</v>
      </c>
    </row>
    <row r="54" spans="1:23" ht="49.5" x14ac:dyDescent="0.25">
      <c r="A54" s="65" t="s">
        <v>41</v>
      </c>
      <c r="B54" s="69" t="s">
        <v>1178</v>
      </c>
      <c r="C54" s="89">
        <v>6700</v>
      </c>
      <c r="D54" s="89">
        <f>C54*50%</f>
        <v>3350</v>
      </c>
      <c r="E54" s="89">
        <v>1500</v>
      </c>
      <c r="F54" s="65" t="s">
        <v>41</v>
      </c>
      <c r="G54" s="69" t="s">
        <v>1178</v>
      </c>
      <c r="H54" s="57">
        <v>7400</v>
      </c>
      <c r="I54" s="57">
        <f>D54*1.1</f>
        <v>3685.0000000000005</v>
      </c>
      <c r="J54" s="57">
        <f>E54*1.1</f>
        <v>1650.0000000000002</v>
      </c>
      <c r="K54" s="76">
        <f t="shared" si="0"/>
        <v>10.447761194029852</v>
      </c>
      <c r="L54" s="92">
        <f t="shared" si="0"/>
        <v>10.000000000000014</v>
      </c>
      <c r="M54" s="93">
        <f t="shared" si="4"/>
        <v>10.000000000000014</v>
      </c>
      <c r="N54" s="65" t="s">
        <v>102</v>
      </c>
      <c r="O54" s="66"/>
      <c r="P54" s="66"/>
      <c r="Q54" s="66"/>
      <c r="R54" s="66"/>
      <c r="S54" s="66"/>
      <c r="V54" s="14"/>
      <c r="W54" s="14">
        <f t="shared" si="1"/>
        <v>1.1044776119402986</v>
      </c>
    </row>
    <row r="55" spans="1:23" ht="49.5" x14ac:dyDescent="0.25">
      <c r="A55" s="65" t="s">
        <v>42</v>
      </c>
      <c r="B55" s="69" t="s">
        <v>1179</v>
      </c>
      <c r="C55" s="89">
        <v>8200</v>
      </c>
      <c r="D55" s="89">
        <v>4000</v>
      </c>
      <c r="E55" s="89">
        <v>2000</v>
      </c>
      <c r="F55" s="65" t="s">
        <v>42</v>
      </c>
      <c r="G55" s="69" t="s">
        <v>1179</v>
      </c>
      <c r="H55" s="57">
        <f t="shared" ref="H55:J68" si="7">C55*1.1</f>
        <v>9020</v>
      </c>
      <c r="I55" s="57">
        <f t="shared" si="7"/>
        <v>4400</v>
      </c>
      <c r="J55" s="57">
        <f t="shared" si="7"/>
        <v>2200</v>
      </c>
      <c r="K55" s="76">
        <f t="shared" si="0"/>
        <v>10.000000000000014</v>
      </c>
      <c r="L55" s="92">
        <f t="shared" si="0"/>
        <v>10.000000000000014</v>
      </c>
      <c r="M55" s="93">
        <f t="shared" si="4"/>
        <v>10.000000000000014</v>
      </c>
      <c r="N55" s="65" t="s">
        <v>102</v>
      </c>
      <c r="O55" s="66"/>
      <c r="P55" s="66"/>
      <c r="Q55" s="66"/>
      <c r="R55" s="66"/>
      <c r="S55" s="66"/>
      <c r="V55" s="14"/>
      <c r="W55" s="14">
        <f t="shared" si="1"/>
        <v>1.1000000000000001</v>
      </c>
    </row>
    <row r="56" spans="1:23" ht="60" customHeight="1" x14ac:dyDescent="0.25">
      <c r="A56" s="65" t="s">
        <v>43</v>
      </c>
      <c r="B56" s="69" t="s">
        <v>1180</v>
      </c>
      <c r="C56" s="89">
        <v>9500</v>
      </c>
      <c r="D56" s="89">
        <v>5000</v>
      </c>
      <c r="E56" s="89">
        <v>3500</v>
      </c>
      <c r="F56" s="65" t="s">
        <v>43</v>
      </c>
      <c r="G56" s="69" t="s">
        <v>1180</v>
      </c>
      <c r="H56" s="57">
        <v>10500</v>
      </c>
      <c r="I56" s="57">
        <f t="shared" si="7"/>
        <v>5500</v>
      </c>
      <c r="J56" s="57">
        <f t="shared" si="7"/>
        <v>3850.0000000000005</v>
      </c>
      <c r="K56" s="76">
        <f t="shared" si="0"/>
        <v>10.526315789473699</v>
      </c>
      <c r="L56" s="92">
        <f t="shared" si="0"/>
        <v>10.000000000000014</v>
      </c>
      <c r="M56" s="93">
        <f t="shared" si="4"/>
        <v>10.000000000000014</v>
      </c>
      <c r="N56" s="65" t="s">
        <v>102</v>
      </c>
      <c r="O56" s="66"/>
      <c r="P56" s="66"/>
      <c r="Q56" s="66"/>
      <c r="R56" s="66"/>
      <c r="S56" s="66"/>
      <c r="V56" s="14"/>
      <c r="W56" s="14">
        <f t="shared" si="1"/>
        <v>1.1052631578947369</v>
      </c>
    </row>
    <row r="57" spans="1:23" ht="66" x14ac:dyDescent="0.25">
      <c r="A57" s="65" t="s">
        <v>45</v>
      </c>
      <c r="B57" s="69" t="s">
        <v>1181</v>
      </c>
      <c r="C57" s="89">
        <v>8700</v>
      </c>
      <c r="D57" s="89">
        <v>4250</v>
      </c>
      <c r="E57" s="89">
        <v>2000</v>
      </c>
      <c r="F57" s="65" t="s">
        <v>45</v>
      </c>
      <c r="G57" s="69" t="s">
        <v>1181</v>
      </c>
      <c r="H57" s="57">
        <f t="shared" si="7"/>
        <v>9570</v>
      </c>
      <c r="I57" s="57">
        <f t="shared" si="7"/>
        <v>4675</v>
      </c>
      <c r="J57" s="57">
        <f t="shared" si="7"/>
        <v>2200</v>
      </c>
      <c r="K57" s="76">
        <f t="shared" si="0"/>
        <v>10.000000000000014</v>
      </c>
      <c r="L57" s="92">
        <f t="shared" si="0"/>
        <v>10.000000000000014</v>
      </c>
      <c r="M57" s="93">
        <f t="shared" si="4"/>
        <v>10.000000000000014</v>
      </c>
      <c r="N57" s="65" t="s">
        <v>102</v>
      </c>
      <c r="O57" s="66"/>
      <c r="P57" s="66"/>
      <c r="Q57" s="66"/>
      <c r="R57" s="66"/>
      <c r="S57" s="66"/>
      <c r="V57" s="14"/>
      <c r="W57" s="14">
        <f t="shared" si="1"/>
        <v>1.1000000000000001</v>
      </c>
    </row>
    <row r="58" spans="1:23" ht="55.5" customHeight="1" x14ac:dyDescent="0.25">
      <c r="A58" s="65" t="s">
        <v>47</v>
      </c>
      <c r="B58" s="69" t="s">
        <v>1182</v>
      </c>
      <c r="C58" s="89">
        <v>8700</v>
      </c>
      <c r="D58" s="89">
        <v>4250</v>
      </c>
      <c r="E58" s="89">
        <v>2000</v>
      </c>
      <c r="F58" s="65" t="s">
        <v>47</v>
      </c>
      <c r="G58" s="69" t="s">
        <v>1182</v>
      </c>
      <c r="H58" s="57">
        <f t="shared" si="7"/>
        <v>9570</v>
      </c>
      <c r="I58" s="57">
        <f t="shared" si="7"/>
        <v>4675</v>
      </c>
      <c r="J58" s="57">
        <f t="shared" si="7"/>
        <v>2200</v>
      </c>
      <c r="K58" s="76">
        <f t="shared" si="0"/>
        <v>10.000000000000014</v>
      </c>
      <c r="L58" s="92">
        <f t="shared" si="0"/>
        <v>10.000000000000014</v>
      </c>
      <c r="M58" s="93">
        <f t="shared" si="4"/>
        <v>10.000000000000014</v>
      </c>
      <c r="N58" s="65" t="s">
        <v>102</v>
      </c>
      <c r="O58" s="66"/>
      <c r="P58" s="66"/>
      <c r="Q58" s="66"/>
      <c r="R58" s="66"/>
      <c r="S58" s="66"/>
      <c r="V58" s="14"/>
      <c r="W58" s="14">
        <f t="shared" si="1"/>
        <v>1.1000000000000001</v>
      </c>
    </row>
    <row r="59" spans="1:23" ht="33" x14ac:dyDescent="0.25">
      <c r="A59" s="65" t="s">
        <v>48</v>
      </c>
      <c r="B59" s="62" t="s">
        <v>151</v>
      </c>
      <c r="C59" s="104">
        <v>5500</v>
      </c>
      <c r="D59" s="105"/>
      <c r="E59" s="106"/>
      <c r="F59" s="65" t="s">
        <v>48</v>
      </c>
      <c r="G59" s="62" t="s">
        <v>151</v>
      </c>
      <c r="H59" s="57">
        <v>6060</v>
      </c>
      <c r="I59" s="57"/>
      <c r="J59" s="57"/>
      <c r="K59" s="76">
        <f t="shared" si="0"/>
        <v>10.181818181818187</v>
      </c>
      <c r="L59" s="92"/>
      <c r="M59" s="93"/>
      <c r="N59" s="65" t="s">
        <v>102</v>
      </c>
      <c r="O59" s="66"/>
      <c r="P59" s="66"/>
      <c r="Q59" s="66"/>
      <c r="R59" s="66"/>
      <c r="S59" s="66"/>
      <c r="V59" s="14"/>
      <c r="W59" s="14">
        <f t="shared" si="1"/>
        <v>1.1018181818181818</v>
      </c>
    </row>
    <row r="60" spans="1:23" ht="67.5" customHeight="1" x14ac:dyDescent="0.25">
      <c r="A60" s="65" t="s">
        <v>50</v>
      </c>
      <c r="B60" s="69" t="s">
        <v>1183</v>
      </c>
      <c r="C60" s="89">
        <v>6000</v>
      </c>
      <c r="D60" s="89">
        <f>C60*50%</f>
        <v>3000</v>
      </c>
      <c r="E60" s="89">
        <v>1500</v>
      </c>
      <c r="F60" s="65" t="s">
        <v>50</v>
      </c>
      <c r="G60" s="69" t="s">
        <v>1183</v>
      </c>
      <c r="H60" s="57">
        <f t="shared" si="7"/>
        <v>6600.0000000000009</v>
      </c>
      <c r="I60" s="57">
        <f t="shared" si="7"/>
        <v>3300.0000000000005</v>
      </c>
      <c r="J60" s="57">
        <f t="shared" si="7"/>
        <v>1650.0000000000002</v>
      </c>
      <c r="K60" s="76">
        <f t="shared" si="0"/>
        <v>10.000000000000014</v>
      </c>
      <c r="L60" s="92">
        <f t="shared" si="0"/>
        <v>10.000000000000014</v>
      </c>
      <c r="M60" s="93">
        <f t="shared" si="4"/>
        <v>10.000000000000014</v>
      </c>
      <c r="N60" s="65" t="s">
        <v>102</v>
      </c>
      <c r="O60" s="66"/>
      <c r="P60" s="66"/>
      <c r="Q60" s="66"/>
      <c r="R60" s="66"/>
      <c r="S60" s="66"/>
      <c r="V60" s="14"/>
      <c r="W60" s="14">
        <f t="shared" si="1"/>
        <v>1.1000000000000001</v>
      </c>
    </row>
    <row r="61" spans="1:23" ht="66" x14ac:dyDescent="0.25">
      <c r="A61" s="65" t="s">
        <v>52</v>
      </c>
      <c r="B61" s="69" t="s">
        <v>1184</v>
      </c>
      <c r="C61" s="89">
        <v>4500</v>
      </c>
      <c r="D61" s="89">
        <f>C61*50%</f>
        <v>2250</v>
      </c>
      <c r="E61" s="89">
        <f>C61*30%</f>
        <v>1350</v>
      </c>
      <c r="F61" s="65" t="s">
        <v>52</v>
      </c>
      <c r="G61" s="69" t="s">
        <v>1184</v>
      </c>
      <c r="H61" s="57">
        <v>4960</v>
      </c>
      <c r="I61" s="57">
        <f t="shared" si="7"/>
        <v>2475</v>
      </c>
      <c r="J61" s="57">
        <f t="shared" si="7"/>
        <v>1485.0000000000002</v>
      </c>
      <c r="K61" s="76">
        <f t="shared" si="0"/>
        <v>10.222222222222229</v>
      </c>
      <c r="L61" s="92">
        <f t="shared" si="0"/>
        <v>10.000000000000014</v>
      </c>
      <c r="M61" s="93">
        <f t="shared" si="4"/>
        <v>10.000000000000014</v>
      </c>
      <c r="N61" s="65" t="s">
        <v>102</v>
      </c>
      <c r="O61" s="66"/>
      <c r="P61" s="66"/>
      <c r="Q61" s="66"/>
      <c r="R61" s="66"/>
      <c r="S61" s="66"/>
      <c r="V61" s="14"/>
      <c r="W61" s="14">
        <f t="shared" si="1"/>
        <v>1.1022222222222222</v>
      </c>
    </row>
    <row r="62" spans="1:23" ht="49.5" x14ac:dyDescent="0.25">
      <c r="A62" s="65" t="s">
        <v>152</v>
      </c>
      <c r="B62" s="69" t="s">
        <v>1185</v>
      </c>
      <c r="C62" s="89">
        <v>2200</v>
      </c>
      <c r="D62" s="89">
        <v>1200</v>
      </c>
      <c r="E62" s="89">
        <v>600</v>
      </c>
      <c r="F62" s="65" t="s">
        <v>152</v>
      </c>
      <c r="G62" s="69" t="s">
        <v>1185</v>
      </c>
      <c r="H62" s="57">
        <f t="shared" si="7"/>
        <v>2420</v>
      </c>
      <c r="I62" s="57">
        <f t="shared" si="7"/>
        <v>1320</v>
      </c>
      <c r="J62" s="57">
        <f t="shared" si="7"/>
        <v>660</v>
      </c>
      <c r="K62" s="76">
        <f t="shared" si="0"/>
        <v>10.000000000000014</v>
      </c>
      <c r="L62" s="92">
        <f t="shared" si="0"/>
        <v>10.000000000000014</v>
      </c>
      <c r="M62" s="93">
        <f t="shared" si="4"/>
        <v>10.000000000000014</v>
      </c>
      <c r="N62" s="65" t="s">
        <v>102</v>
      </c>
      <c r="O62" s="66"/>
      <c r="P62" s="66"/>
      <c r="Q62" s="66"/>
      <c r="R62" s="66"/>
      <c r="S62" s="66"/>
      <c r="V62" s="14"/>
      <c r="W62" s="14">
        <f t="shared" si="1"/>
        <v>1.1000000000000001</v>
      </c>
    </row>
    <row r="63" spans="1:23" ht="49.5" x14ac:dyDescent="0.25">
      <c r="A63" s="65" t="s">
        <v>153</v>
      </c>
      <c r="B63" s="69" t="s">
        <v>1186</v>
      </c>
      <c r="C63" s="89">
        <v>2800</v>
      </c>
      <c r="D63" s="89">
        <v>1550</v>
      </c>
      <c r="E63" s="89">
        <v>800</v>
      </c>
      <c r="F63" s="65" t="s">
        <v>153</v>
      </c>
      <c r="G63" s="69" t="s">
        <v>1186</v>
      </c>
      <c r="H63" s="57">
        <f t="shared" si="7"/>
        <v>3080.0000000000005</v>
      </c>
      <c r="I63" s="57">
        <f t="shared" si="7"/>
        <v>1705.0000000000002</v>
      </c>
      <c r="J63" s="57">
        <f t="shared" si="7"/>
        <v>880.00000000000011</v>
      </c>
      <c r="K63" s="76">
        <f t="shared" si="0"/>
        <v>10.000000000000014</v>
      </c>
      <c r="L63" s="92">
        <f t="shared" si="0"/>
        <v>10.000000000000014</v>
      </c>
      <c r="M63" s="93">
        <f t="shared" si="4"/>
        <v>10.000000000000014</v>
      </c>
      <c r="N63" s="65" t="s">
        <v>102</v>
      </c>
      <c r="O63" s="66"/>
      <c r="P63" s="66"/>
      <c r="Q63" s="66"/>
      <c r="R63" s="66"/>
      <c r="S63" s="66"/>
      <c r="V63" s="14"/>
      <c r="W63" s="14">
        <f t="shared" si="1"/>
        <v>1.1000000000000001</v>
      </c>
    </row>
    <row r="64" spans="1:23" ht="49.5" customHeight="1" x14ac:dyDescent="0.25">
      <c r="A64" s="65" t="s">
        <v>154</v>
      </c>
      <c r="B64" s="69" t="s">
        <v>1187</v>
      </c>
      <c r="C64" s="89">
        <v>220</v>
      </c>
      <c r="D64" s="89">
        <v>150</v>
      </c>
      <c r="E64" s="89">
        <v>120</v>
      </c>
      <c r="F64" s="65" t="s">
        <v>154</v>
      </c>
      <c r="G64" s="69" t="s">
        <v>1187</v>
      </c>
      <c r="H64" s="57">
        <v>690</v>
      </c>
      <c r="I64" s="57">
        <f>H64*68%</f>
        <v>469.20000000000005</v>
      </c>
      <c r="J64" s="57">
        <f>H64*55%</f>
        <v>379.50000000000006</v>
      </c>
      <c r="K64" s="76">
        <f t="shared" si="0"/>
        <v>213.63636363636363</v>
      </c>
      <c r="L64" s="92">
        <f t="shared" si="0"/>
        <v>212.8</v>
      </c>
      <c r="M64" s="93">
        <f t="shared" si="4"/>
        <v>216.25000000000006</v>
      </c>
      <c r="N64" s="65" t="s">
        <v>102</v>
      </c>
      <c r="O64" s="66" t="s">
        <v>155</v>
      </c>
      <c r="P64" s="66"/>
      <c r="Q64" s="66">
        <f>E64/C64*100</f>
        <v>54.54545454545454</v>
      </c>
      <c r="R64" s="66"/>
      <c r="S64" s="66"/>
      <c r="V64" s="14"/>
      <c r="W64" s="14">
        <f t="shared" si="1"/>
        <v>3.1363636363636362</v>
      </c>
    </row>
    <row r="65" spans="1:23" ht="45" customHeight="1" x14ac:dyDescent="0.25">
      <c r="A65" s="289" t="s">
        <v>156</v>
      </c>
      <c r="B65" s="62" t="s">
        <v>115</v>
      </c>
      <c r="C65" s="89">
        <v>280</v>
      </c>
      <c r="D65" s="89">
        <v>180</v>
      </c>
      <c r="E65" s="89">
        <v>140</v>
      </c>
      <c r="F65" s="289" t="s">
        <v>156</v>
      </c>
      <c r="G65" s="62" t="s">
        <v>115</v>
      </c>
      <c r="H65" s="57">
        <v>680</v>
      </c>
      <c r="I65" s="57">
        <f>H65*64%</f>
        <v>435.2</v>
      </c>
      <c r="J65" s="57">
        <f>H65*50%</f>
        <v>340</v>
      </c>
      <c r="K65" s="76">
        <f t="shared" si="0"/>
        <v>142.85714285714283</v>
      </c>
      <c r="L65" s="92">
        <f t="shared" si="0"/>
        <v>141.77777777777777</v>
      </c>
      <c r="M65" s="93">
        <f t="shared" si="4"/>
        <v>142.85714285714283</v>
      </c>
      <c r="N65" s="65" t="s">
        <v>102</v>
      </c>
      <c r="O65" s="66"/>
      <c r="P65" s="66"/>
      <c r="Q65" s="66">
        <f>E65/C65*100</f>
        <v>50</v>
      </c>
      <c r="R65" s="66"/>
      <c r="S65" s="66"/>
      <c r="V65" s="14"/>
      <c r="W65" s="14">
        <f t="shared" si="1"/>
        <v>2.4285714285714284</v>
      </c>
    </row>
    <row r="66" spans="1:23" ht="45" customHeight="1" x14ac:dyDescent="0.25">
      <c r="A66" s="289"/>
      <c r="B66" s="62" t="s">
        <v>116</v>
      </c>
      <c r="C66" s="89">
        <v>225</v>
      </c>
      <c r="D66" s="89">
        <v>150</v>
      </c>
      <c r="E66" s="89">
        <v>120</v>
      </c>
      <c r="F66" s="289"/>
      <c r="G66" s="62" t="s">
        <v>116</v>
      </c>
      <c r="H66" s="57">
        <v>619</v>
      </c>
      <c r="I66" s="57">
        <f>H66*67%</f>
        <v>414.73</v>
      </c>
      <c r="J66" s="57">
        <f>H66*53%</f>
        <v>328.07</v>
      </c>
      <c r="K66" s="76">
        <f t="shared" ref="K66:M128" si="8">(H66/C66)*100-100</f>
        <v>175.11111111111114</v>
      </c>
      <c r="L66" s="92">
        <f t="shared" si="8"/>
        <v>176.48666666666668</v>
      </c>
      <c r="M66" s="93">
        <f t="shared" si="4"/>
        <v>173.39166666666665</v>
      </c>
      <c r="N66" s="99" t="s">
        <v>157</v>
      </c>
      <c r="O66" s="66"/>
      <c r="P66" s="66"/>
      <c r="Q66" s="66">
        <f>E66/C66*100</f>
        <v>53.333333333333336</v>
      </c>
      <c r="R66" s="66"/>
      <c r="S66" s="66"/>
      <c r="V66" s="14"/>
      <c r="W66" s="14">
        <f t="shared" si="1"/>
        <v>2.7511111111111113</v>
      </c>
    </row>
    <row r="67" spans="1:23" ht="45" customHeight="1" x14ac:dyDescent="0.25">
      <c r="A67" s="289"/>
      <c r="B67" s="62" t="s">
        <v>118</v>
      </c>
      <c r="C67" s="89">
        <v>200</v>
      </c>
      <c r="D67" s="89">
        <v>140</v>
      </c>
      <c r="E67" s="89">
        <v>100</v>
      </c>
      <c r="F67" s="289"/>
      <c r="G67" s="62" t="s">
        <v>118</v>
      </c>
      <c r="H67" s="57">
        <v>580</v>
      </c>
      <c r="I67" s="57">
        <f>H67*70%</f>
        <v>406</v>
      </c>
      <c r="J67" s="57">
        <f>H67*50%</f>
        <v>290</v>
      </c>
      <c r="K67" s="76">
        <f t="shared" si="8"/>
        <v>190</v>
      </c>
      <c r="L67" s="92">
        <f t="shared" si="8"/>
        <v>190</v>
      </c>
      <c r="M67" s="93">
        <f t="shared" si="4"/>
        <v>190</v>
      </c>
      <c r="N67" s="65" t="s">
        <v>102</v>
      </c>
      <c r="O67" s="66"/>
      <c r="P67" s="66"/>
      <c r="Q67" s="66">
        <f>E67/C67*100</f>
        <v>50</v>
      </c>
      <c r="R67" s="66"/>
      <c r="S67" s="66"/>
      <c r="V67" s="14"/>
      <c r="W67" s="14">
        <f t="shared" si="1"/>
        <v>2.9</v>
      </c>
    </row>
    <row r="68" spans="1:23" ht="33" x14ac:dyDescent="0.25">
      <c r="A68" s="65" t="s">
        <v>158</v>
      </c>
      <c r="B68" s="62" t="s">
        <v>53</v>
      </c>
      <c r="C68" s="89">
        <v>120</v>
      </c>
      <c r="D68" s="89">
        <v>100</v>
      </c>
      <c r="E68" s="89">
        <v>90</v>
      </c>
      <c r="F68" s="65" t="s">
        <v>158</v>
      </c>
      <c r="G68" s="62" t="s">
        <v>53</v>
      </c>
      <c r="H68" s="57">
        <f t="shared" si="7"/>
        <v>132</v>
      </c>
      <c r="I68" s="57">
        <f t="shared" si="7"/>
        <v>110.00000000000001</v>
      </c>
      <c r="J68" s="57">
        <f t="shared" si="7"/>
        <v>99.000000000000014</v>
      </c>
      <c r="K68" s="76">
        <f t="shared" si="8"/>
        <v>10.000000000000014</v>
      </c>
      <c r="L68" s="92">
        <f t="shared" si="8"/>
        <v>10.000000000000014</v>
      </c>
      <c r="M68" s="93">
        <f t="shared" si="4"/>
        <v>10.000000000000014</v>
      </c>
      <c r="N68" s="65" t="s">
        <v>102</v>
      </c>
      <c r="O68" s="66"/>
      <c r="P68" s="66"/>
      <c r="Q68" s="66"/>
      <c r="R68" s="66"/>
      <c r="S68" s="66"/>
      <c r="V68" s="14"/>
      <c r="W68" s="14">
        <f t="shared" si="1"/>
        <v>1.1000000000000001</v>
      </c>
    </row>
    <row r="69" spans="1:23" s="16" customFormat="1" ht="26.25" customHeight="1" x14ac:dyDescent="0.25">
      <c r="A69" s="82">
        <v>4</v>
      </c>
      <c r="B69" s="69" t="s">
        <v>159</v>
      </c>
      <c r="C69" s="89"/>
      <c r="D69" s="89"/>
      <c r="E69" s="89"/>
      <c r="F69" s="82">
        <v>4</v>
      </c>
      <c r="G69" s="69" t="s">
        <v>159</v>
      </c>
      <c r="H69" s="89"/>
      <c r="I69" s="89"/>
      <c r="J69" s="89"/>
      <c r="K69" s="76"/>
      <c r="L69" s="92"/>
      <c r="M69" s="93"/>
      <c r="N69" s="82"/>
      <c r="O69" s="83"/>
      <c r="P69" s="83"/>
      <c r="Q69" s="83"/>
      <c r="R69" s="83"/>
      <c r="S69" s="83"/>
      <c r="V69" s="14"/>
      <c r="W69" s="14" t="e">
        <f t="shared" si="1"/>
        <v>#DIV/0!</v>
      </c>
    </row>
    <row r="70" spans="1:23" ht="88.5" customHeight="1" x14ac:dyDescent="0.25">
      <c r="A70" s="65" t="s">
        <v>17</v>
      </c>
      <c r="B70" s="95" t="s">
        <v>1188</v>
      </c>
      <c r="C70" s="93">
        <v>4500</v>
      </c>
      <c r="D70" s="93">
        <v>2300</v>
      </c>
      <c r="E70" s="93">
        <v>1350</v>
      </c>
      <c r="F70" s="65" t="s">
        <v>17</v>
      </c>
      <c r="G70" s="95" t="s">
        <v>1189</v>
      </c>
      <c r="H70" s="107">
        <v>4960</v>
      </c>
      <c r="I70" s="107">
        <f>D70*1.1</f>
        <v>2530</v>
      </c>
      <c r="J70" s="107">
        <f>E70*1.1</f>
        <v>1485.0000000000002</v>
      </c>
      <c r="K70" s="76">
        <f t="shared" si="8"/>
        <v>10.222222222222229</v>
      </c>
      <c r="L70" s="92">
        <f t="shared" si="8"/>
        <v>10.000000000000014</v>
      </c>
      <c r="M70" s="93">
        <f t="shared" si="4"/>
        <v>10.000000000000014</v>
      </c>
      <c r="N70" s="88" t="s">
        <v>1014</v>
      </c>
      <c r="O70" s="66"/>
      <c r="P70" s="66"/>
      <c r="Q70" s="66"/>
      <c r="R70" s="66"/>
      <c r="S70" s="66"/>
      <c r="V70" s="14"/>
      <c r="W70" s="14">
        <f t="shared" ref="W70:W133" si="9">H70/C70</f>
        <v>1.1022222222222222</v>
      </c>
    </row>
    <row r="71" spans="1:23" ht="86.25" customHeight="1" x14ac:dyDescent="0.25">
      <c r="A71" s="65" t="s">
        <v>20</v>
      </c>
      <c r="B71" s="69" t="s">
        <v>1190</v>
      </c>
      <c r="C71" s="89">
        <v>4000</v>
      </c>
      <c r="D71" s="89">
        <v>2500</v>
      </c>
      <c r="E71" s="89">
        <v>1200</v>
      </c>
      <c r="F71" s="65" t="s">
        <v>20</v>
      </c>
      <c r="G71" s="69" t="s">
        <v>1294</v>
      </c>
      <c r="H71" s="107">
        <v>4440</v>
      </c>
      <c r="I71" s="107">
        <f>D71*1.11</f>
        <v>2775.0000000000005</v>
      </c>
      <c r="J71" s="107">
        <f>E71*1.11</f>
        <v>1332.0000000000002</v>
      </c>
      <c r="K71" s="76">
        <f t="shared" si="8"/>
        <v>11.000000000000014</v>
      </c>
      <c r="L71" s="92">
        <f t="shared" si="8"/>
        <v>11.000000000000014</v>
      </c>
      <c r="M71" s="93">
        <f t="shared" si="4"/>
        <v>11.000000000000014</v>
      </c>
      <c r="N71" s="88" t="s">
        <v>1014</v>
      </c>
      <c r="O71" s="66"/>
      <c r="P71" s="66"/>
      <c r="Q71" s="66"/>
      <c r="R71" s="66"/>
      <c r="S71" s="66"/>
      <c r="V71" s="14"/>
      <c r="W71" s="14">
        <f t="shared" si="9"/>
        <v>1.1100000000000001</v>
      </c>
    </row>
    <row r="72" spans="1:23" ht="51.75" customHeight="1" x14ac:dyDescent="0.25">
      <c r="A72" s="65" t="s">
        <v>57</v>
      </c>
      <c r="B72" s="69" t="s">
        <v>1191</v>
      </c>
      <c r="C72" s="89">
        <v>3200</v>
      </c>
      <c r="D72" s="89">
        <v>1850</v>
      </c>
      <c r="E72" s="89">
        <v>900</v>
      </c>
      <c r="F72" s="65" t="s">
        <v>57</v>
      </c>
      <c r="G72" s="69" t="s">
        <v>1192</v>
      </c>
      <c r="H72" s="107">
        <f t="shared" ref="H72:J75" si="10">C72*1.1</f>
        <v>3520.0000000000005</v>
      </c>
      <c r="I72" s="107">
        <f t="shared" si="10"/>
        <v>2035.0000000000002</v>
      </c>
      <c r="J72" s="107">
        <f t="shared" si="10"/>
        <v>990.00000000000011</v>
      </c>
      <c r="K72" s="76">
        <f t="shared" si="8"/>
        <v>10.000000000000014</v>
      </c>
      <c r="L72" s="92">
        <f t="shared" si="8"/>
        <v>10.000000000000014</v>
      </c>
      <c r="M72" s="93">
        <f t="shared" si="4"/>
        <v>10.000000000000014</v>
      </c>
      <c r="N72" s="88" t="s">
        <v>1014</v>
      </c>
      <c r="O72" s="66"/>
      <c r="P72" s="66"/>
      <c r="Q72" s="66"/>
      <c r="R72" s="66"/>
      <c r="S72" s="66"/>
      <c r="V72" s="14"/>
      <c r="W72" s="14">
        <f t="shared" si="9"/>
        <v>1.1000000000000001</v>
      </c>
    </row>
    <row r="73" spans="1:23" ht="56.25" customHeight="1" x14ac:dyDescent="0.25">
      <c r="A73" s="65" t="s">
        <v>59</v>
      </c>
      <c r="B73" s="69" t="s">
        <v>1193</v>
      </c>
      <c r="C73" s="89">
        <v>2200</v>
      </c>
      <c r="D73" s="89">
        <v>1200</v>
      </c>
      <c r="E73" s="89">
        <v>600</v>
      </c>
      <c r="F73" s="65" t="s">
        <v>59</v>
      </c>
      <c r="G73" s="69" t="s">
        <v>1194</v>
      </c>
      <c r="H73" s="107">
        <v>2450</v>
      </c>
      <c r="I73" s="107">
        <f>D73*1.11</f>
        <v>1332.0000000000002</v>
      </c>
      <c r="J73" s="107">
        <f>E73*1.11</f>
        <v>666.00000000000011</v>
      </c>
      <c r="K73" s="76">
        <f t="shared" si="8"/>
        <v>11.36363636363636</v>
      </c>
      <c r="L73" s="92">
        <f t="shared" si="8"/>
        <v>11.000000000000014</v>
      </c>
      <c r="M73" s="93">
        <f t="shared" si="4"/>
        <v>11.000000000000014</v>
      </c>
      <c r="N73" s="88" t="s">
        <v>1014</v>
      </c>
      <c r="O73" s="66"/>
      <c r="P73" s="66"/>
      <c r="Q73" s="66"/>
      <c r="R73" s="66"/>
      <c r="S73" s="66"/>
      <c r="V73" s="14"/>
      <c r="W73" s="14">
        <f t="shared" si="9"/>
        <v>1.1136363636363635</v>
      </c>
    </row>
    <row r="74" spans="1:23" ht="49.5" x14ac:dyDescent="0.25">
      <c r="A74" s="65" t="s">
        <v>60</v>
      </c>
      <c r="B74" s="69" t="s">
        <v>1195</v>
      </c>
      <c r="C74" s="89">
        <v>1000</v>
      </c>
      <c r="D74" s="89">
        <v>550</v>
      </c>
      <c r="E74" s="89">
        <v>350</v>
      </c>
      <c r="F74" s="65" t="s">
        <v>60</v>
      </c>
      <c r="G74" s="69" t="s">
        <v>1195</v>
      </c>
      <c r="H74" s="107">
        <f t="shared" si="10"/>
        <v>1100</v>
      </c>
      <c r="I74" s="107">
        <f t="shared" si="10"/>
        <v>605</v>
      </c>
      <c r="J74" s="107">
        <f t="shared" si="10"/>
        <v>385.00000000000006</v>
      </c>
      <c r="K74" s="76">
        <f t="shared" si="8"/>
        <v>10.000000000000014</v>
      </c>
      <c r="L74" s="92">
        <f t="shared" si="8"/>
        <v>10.000000000000014</v>
      </c>
      <c r="M74" s="93">
        <f t="shared" si="4"/>
        <v>10.000000000000014</v>
      </c>
      <c r="N74" s="65" t="s">
        <v>102</v>
      </c>
      <c r="O74" s="66"/>
      <c r="P74" s="66"/>
      <c r="Q74" s="66"/>
      <c r="R74" s="66"/>
      <c r="S74" s="66"/>
      <c r="V74" s="14"/>
      <c r="W74" s="14">
        <f t="shared" si="9"/>
        <v>1.1000000000000001</v>
      </c>
    </row>
    <row r="75" spans="1:23" ht="72" customHeight="1" x14ac:dyDescent="0.25">
      <c r="A75" s="65" t="s">
        <v>61</v>
      </c>
      <c r="B75" s="69" t="s">
        <v>160</v>
      </c>
      <c r="C75" s="89">
        <v>3800</v>
      </c>
      <c r="D75" s="89">
        <v>2200</v>
      </c>
      <c r="E75" s="89">
        <v>1000</v>
      </c>
      <c r="F75" s="65" t="s">
        <v>61</v>
      </c>
      <c r="G75" s="69" t="s">
        <v>161</v>
      </c>
      <c r="H75" s="107">
        <f t="shared" si="10"/>
        <v>4180</v>
      </c>
      <c r="I75" s="107">
        <f t="shared" si="10"/>
        <v>2420</v>
      </c>
      <c r="J75" s="107">
        <f t="shared" si="10"/>
        <v>1100</v>
      </c>
      <c r="K75" s="76">
        <f t="shared" si="8"/>
        <v>10.000000000000014</v>
      </c>
      <c r="L75" s="92">
        <f t="shared" si="8"/>
        <v>10.000000000000014</v>
      </c>
      <c r="M75" s="93">
        <f t="shared" si="4"/>
        <v>10.000000000000014</v>
      </c>
      <c r="N75" s="65" t="s">
        <v>1015</v>
      </c>
      <c r="O75" s="66"/>
      <c r="P75" s="66"/>
      <c r="Q75" s="66"/>
      <c r="R75" s="66"/>
      <c r="S75" s="66"/>
      <c r="V75" s="14"/>
      <c r="W75" s="14">
        <f t="shared" si="9"/>
        <v>1.1000000000000001</v>
      </c>
    </row>
    <row r="76" spans="1:23" ht="61.5" customHeight="1" x14ac:dyDescent="0.25">
      <c r="A76" s="65" t="s">
        <v>63</v>
      </c>
      <c r="B76" s="69" t="s">
        <v>1196</v>
      </c>
      <c r="C76" s="89">
        <v>2650</v>
      </c>
      <c r="D76" s="89">
        <v>1500</v>
      </c>
      <c r="E76" s="89">
        <v>750</v>
      </c>
      <c r="F76" s="65" t="s">
        <v>63</v>
      </c>
      <c r="G76" s="69" t="s">
        <v>1197</v>
      </c>
      <c r="H76" s="107">
        <v>2940</v>
      </c>
      <c r="I76" s="107">
        <f>D76*1.11</f>
        <v>1665.0000000000002</v>
      </c>
      <c r="J76" s="107">
        <f>E76*1.11</f>
        <v>832.50000000000011</v>
      </c>
      <c r="K76" s="76">
        <f t="shared" si="8"/>
        <v>10.943396226415089</v>
      </c>
      <c r="L76" s="92">
        <f t="shared" si="8"/>
        <v>11.000000000000014</v>
      </c>
      <c r="M76" s="93">
        <f t="shared" si="4"/>
        <v>11.000000000000014</v>
      </c>
      <c r="N76" s="65" t="s">
        <v>1016</v>
      </c>
      <c r="O76" s="66"/>
      <c r="P76" s="66"/>
      <c r="Q76" s="66"/>
      <c r="R76" s="66"/>
      <c r="S76" s="66"/>
      <c r="V76" s="14"/>
      <c r="W76" s="14">
        <f t="shared" si="9"/>
        <v>1.1094339622641509</v>
      </c>
    </row>
    <row r="77" spans="1:23" ht="45.75" customHeight="1" x14ac:dyDescent="0.25">
      <c r="A77" s="289" t="s">
        <v>162</v>
      </c>
      <c r="B77" s="62" t="s">
        <v>115</v>
      </c>
      <c r="C77" s="89">
        <v>270</v>
      </c>
      <c r="D77" s="89">
        <v>165</v>
      </c>
      <c r="E77" s="89">
        <v>130</v>
      </c>
      <c r="F77" s="289" t="s">
        <v>162</v>
      </c>
      <c r="G77" s="62" t="s">
        <v>115</v>
      </c>
      <c r="H77" s="57">
        <v>730</v>
      </c>
      <c r="I77" s="57">
        <f>H77*61%</f>
        <v>445.3</v>
      </c>
      <c r="J77" s="57">
        <f>H77*48%</f>
        <v>350.4</v>
      </c>
      <c r="K77" s="76">
        <f t="shared" si="8"/>
        <v>170.37037037037038</v>
      </c>
      <c r="L77" s="92">
        <f t="shared" si="8"/>
        <v>169.87878787878788</v>
      </c>
      <c r="M77" s="93">
        <f t="shared" si="4"/>
        <v>169.53846153846149</v>
      </c>
      <c r="N77" s="65" t="s">
        <v>102</v>
      </c>
      <c r="O77" s="66"/>
      <c r="P77" s="66"/>
      <c r="Q77" s="66">
        <f>E77/C77*100</f>
        <v>48.148148148148145</v>
      </c>
      <c r="R77" s="66"/>
      <c r="S77" s="66"/>
      <c r="V77" s="14"/>
      <c r="W77" s="14">
        <f t="shared" si="9"/>
        <v>2.7037037037037037</v>
      </c>
    </row>
    <row r="78" spans="1:23" ht="45.75" customHeight="1" x14ac:dyDescent="0.25">
      <c r="A78" s="289"/>
      <c r="B78" s="62" t="s">
        <v>116</v>
      </c>
      <c r="C78" s="89">
        <v>220</v>
      </c>
      <c r="D78" s="89">
        <v>150</v>
      </c>
      <c r="E78" s="89">
        <v>120</v>
      </c>
      <c r="F78" s="289"/>
      <c r="G78" s="62" t="s">
        <v>116</v>
      </c>
      <c r="H78" s="57">
        <v>673</v>
      </c>
      <c r="I78" s="57">
        <f>H78*68%</f>
        <v>457.64000000000004</v>
      </c>
      <c r="J78" s="57">
        <f>H78*54%</f>
        <v>363.42</v>
      </c>
      <c r="K78" s="76">
        <f t="shared" si="8"/>
        <v>205.90909090909093</v>
      </c>
      <c r="L78" s="92">
        <f t="shared" si="8"/>
        <v>205.09333333333336</v>
      </c>
      <c r="M78" s="93">
        <f t="shared" si="4"/>
        <v>202.85000000000002</v>
      </c>
      <c r="N78" s="99" t="s">
        <v>163</v>
      </c>
      <c r="O78" s="66"/>
      <c r="P78" s="66"/>
      <c r="Q78" s="66">
        <f>E78/C78*100</f>
        <v>54.54545454545454</v>
      </c>
      <c r="R78" s="66"/>
      <c r="S78" s="66"/>
      <c r="V78" s="14"/>
      <c r="W78" s="14">
        <f t="shared" si="9"/>
        <v>3.0590909090909091</v>
      </c>
    </row>
    <row r="79" spans="1:23" ht="45.75" customHeight="1" x14ac:dyDescent="0.25">
      <c r="A79" s="289"/>
      <c r="B79" s="62" t="s">
        <v>118</v>
      </c>
      <c r="C79" s="89">
        <v>200</v>
      </c>
      <c r="D79" s="89">
        <v>130</v>
      </c>
      <c r="E79" s="89">
        <v>100</v>
      </c>
      <c r="F79" s="289"/>
      <c r="G79" s="62" t="s">
        <v>118</v>
      </c>
      <c r="H79" s="57">
        <v>501</v>
      </c>
      <c r="I79" s="57">
        <f>H79*65%</f>
        <v>325.65000000000003</v>
      </c>
      <c r="J79" s="57">
        <f>H79*50%</f>
        <v>250.5</v>
      </c>
      <c r="K79" s="76">
        <f t="shared" si="8"/>
        <v>150.5</v>
      </c>
      <c r="L79" s="92">
        <f t="shared" si="8"/>
        <v>150.50000000000003</v>
      </c>
      <c r="M79" s="93">
        <f t="shared" si="4"/>
        <v>150.5</v>
      </c>
      <c r="N79" s="99" t="s">
        <v>148</v>
      </c>
      <c r="O79" s="66"/>
      <c r="P79" s="66"/>
      <c r="Q79" s="66">
        <f>E79/C79*100</f>
        <v>50</v>
      </c>
      <c r="R79" s="66"/>
      <c r="S79" s="66"/>
      <c r="V79" s="14"/>
      <c r="W79" s="14">
        <f t="shared" si="9"/>
        <v>2.5049999999999999</v>
      </c>
    </row>
    <row r="80" spans="1:23" ht="16.5" x14ac:dyDescent="0.25">
      <c r="A80" s="65" t="s">
        <v>164</v>
      </c>
      <c r="B80" s="62" t="s">
        <v>53</v>
      </c>
      <c r="C80" s="89">
        <v>120</v>
      </c>
      <c r="D80" s="89">
        <v>100</v>
      </c>
      <c r="E80" s="89">
        <v>90</v>
      </c>
      <c r="F80" s="65" t="s">
        <v>164</v>
      </c>
      <c r="G80" s="62" t="s">
        <v>53</v>
      </c>
      <c r="H80" s="107">
        <f>C80*1.1</f>
        <v>132</v>
      </c>
      <c r="I80" s="107">
        <f>D80*1.1</f>
        <v>110.00000000000001</v>
      </c>
      <c r="J80" s="107">
        <f>E80*1.1</f>
        <v>99.000000000000014</v>
      </c>
      <c r="K80" s="76">
        <f t="shared" si="8"/>
        <v>10.000000000000014</v>
      </c>
      <c r="L80" s="92">
        <f t="shared" si="8"/>
        <v>10.000000000000014</v>
      </c>
      <c r="M80" s="93">
        <f t="shared" si="8"/>
        <v>10.000000000000014</v>
      </c>
      <c r="N80" s="65" t="s">
        <v>102</v>
      </c>
      <c r="O80" s="66"/>
      <c r="P80" s="66"/>
      <c r="Q80" s="66"/>
      <c r="R80" s="66"/>
      <c r="S80" s="66"/>
      <c r="V80" s="14"/>
      <c r="W80" s="14">
        <f t="shared" si="9"/>
        <v>1.1000000000000001</v>
      </c>
    </row>
    <row r="81" spans="1:23" ht="16.5" x14ac:dyDescent="0.25">
      <c r="A81" s="82">
        <v>5</v>
      </c>
      <c r="B81" s="69" t="s">
        <v>165</v>
      </c>
      <c r="C81" s="89"/>
      <c r="D81" s="89"/>
      <c r="E81" s="89"/>
      <c r="F81" s="82">
        <v>5</v>
      </c>
      <c r="G81" s="69" t="s">
        <v>165</v>
      </c>
      <c r="H81" s="89"/>
      <c r="I81" s="89"/>
      <c r="J81" s="89"/>
      <c r="K81" s="76"/>
      <c r="L81" s="92"/>
      <c r="M81" s="93"/>
      <c r="N81" s="65"/>
      <c r="O81" s="66"/>
      <c r="P81" s="66"/>
      <c r="Q81" s="66"/>
      <c r="R81" s="66"/>
      <c r="S81" s="66"/>
      <c r="V81" s="14"/>
      <c r="W81" s="14" t="e">
        <f t="shared" si="9"/>
        <v>#DIV/0!</v>
      </c>
    </row>
    <row r="82" spans="1:23" ht="56.25" customHeight="1" x14ac:dyDescent="0.25">
      <c r="A82" s="65" t="s">
        <v>66</v>
      </c>
      <c r="B82" s="69" t="s">
        <v>1198</v>
      </c>
      <c r="C82" s="89">
        <v>1800</v>
      </c>
      <c r="D82" s="89">
        <v>1000</v>
      </c>
      <c r="E82" s="89">
        <v>550</v>
      </c>
      <c r="F82" s="65" t="s">
        <v>66</v>
      </c>
      <c r="G82" s="69" t="s">
        <v>1198</v>
      </c>
      <c r="H82" s="89">
        <f t="shared" ref="H82:J86" si="11">C82*1.1</f>
        <v>1980.0000000000002</v>
      </c>
      <c r="I82" s="89">
        <f t="shared" si="11"/>
        <v>1100</v>
      </c>
      <c r="J82" s="89">
        <f t="shared" si="11"/>
        <v>605</v>
      </c>
      <c r="K82" s="76">
        <f t="shared" si="8"/>
        <v>10.000000000000014</v>
      </c>
      <c r="L82" s="92">
        <f t="shared" si="8"/>
        <v>10.000000000000014</v>
      </c>
      <c r="M82" s="93">
        <f t="shared" si="8"/>
        <v>10.000000000000014</v>
      </c>
      <c r="N82" s="65" t="s">
        <v>102</v>
      </c>
      <c r="O82" s="66"/>
      <c r="P82" s="66"/>
      <c r="Q82" s="66"/>
      <c r="R82" s="66"/>
      <c r="S82" s="66"/>
      <c r="V82" s="14"/>
      <c r="W82" s="14">
        <f t="shared" si="9"/>
        <v>1.1000000000000001</v>
      </c>
    </row>
    <row r="83" spans="1:23" ht="65.25" customHeight="1" x14ac:dyDescent="0.25">
      <c r="A83" s="65" t="s">
        <v>67</v>
      </c>
      <c r="B83" s="69" t="s">
        <v>1199</v>
      </c>
      <c r="C83" s="89">
        <v>1700</v>
      </c>
      <c r="D83" s="89">
        <v>850</v>
      </c>
      <c r="E83" s="89">
        <v>500</v>
      </c>
      <c r="F83" s="65" t="s">
        <v>67</v>
      </c>
      <c r="G83" s="69" t="s">
        <v>1200</v>
      </c>
      <c r="H83" s="89">
        <v>2290</v>
      </c>
      <c r="I83" s="89">
        <f>H83*50%</f>
        <v>1145</v>
      </c>
      <c r="J83" s="89">
        <f>H83*29%</f>
        <v>664.09999999999991</v>
      </c>
      <c r="K83" s="76">
        <f t="shared" si="8"/>
        <v>34.705882352941188</v>
      </c>
      <c r="L83" s="92">
        <f t="shared" si="8"/>
        <v>34.705882352941188</v>
      </c>
      <c r="M83" s="93">
        <f t="shared" si="8"/>
        <v>32.819999999999993</v>
      </c>
      <c r="N83" s="65" t="s">
        <v>1017</v>
      </c>
      <c r="O83" s="66" t="s">
        <v>166</v>
      </c>
      <c r="P83" s="66"/>
      <c r="Q83" s="66">
        <f>E83/C83*100</f>
        <v>29.411764705882355</v>
      </c>
      <c r="R83" s="66"/>
      <c r="S83" s="66"/>
      <c r="V83" s="14"/>
      <c r="W83" s="14">
        <f t="shared" si="9"/>
        <v>1.3470588235294119</v>
      </c>
    </row>
    <row r="84" spans="1:23" ht="102" customHeight="1" x14ac:dyDescent="0.25">
      <c r="A84" s="65" t="s">
        <v>68</v>
      </c>
      <c r="B84" s="69" t="s">
        <v>1201</v>
      </c>
      <c r="C84" s="89">
        <v>1200</v>
      </c>
      <c r="D84" s="89">
        <v>680</v>
      </c>
      <c r="E84" s="89">
        <v>360</v>
      </c>
      <c r="F84" s="65" t="s">
        <v>68</v>
      </c>
      <c r="G84" s="69" t="s">
        <v>1201</v>
      </c>
      <c r="H84" s="89">
        <v>1700</v>
      </c>
      <c r="I84" s="89">
        <f>H84*57%</f>
        <v>968.99999999999989</v>
      </c>
      <c r="J84" s="89">
        <f>H84*30%</f>
        <v>510</v>
      </c>
      <c r="K84" s="76">
        <f t="shared" si="8"/>
        <v>41.666666666666686</v>
      </c>
      <c r="L84" s="92">
        <f t="shared" si="8"/>
        <v>42.499999999999972</v>
      </c>
      <c r="M84" s="93">
        <f t="shared" si="8"/>
        <v>41.666666666666686</v>
      </c>
      <c r="N84" s="65" t="s">
        <v>1013</v>
      </c>
      <c r="O84" s="66" t="s">
        <v>167</v>
      </c>
      <c r="P84" s="66"/>
      <c r="Q84" s="66">
        <f>E84/C84*100</f>
        <v>30</v>
      </c>
      <c r="R84" s="66"/>
      <c r="S84" s="66"/>
      <c r="V84" s="14"/>
      <c r="W84" s="14">
        <f t="shared" si="9"/>
        <v>1.4166666666666667</v>
      </c>
    </row>
    <row r="85" spans="1:23" ht="66" x14ac:dyDescent="0.25">
      <c r="A85" s="65" t="s">
        <v>69</v>
      </c>
      <c r="B85" s="69" t="s">
        <v>1202</v>
      </c>
      <c r="C85" s="89">
        <v>700</v>
      </c>
      <c r="D85" s="89">
        <v>400</v>
      </c>
      <c r="E85" s="89">
        <v>260</v>
      </c>
      <c r="F85" s="65" t="s">
        <v>69</v>
      </c>
      <c r="G85" s="69" t="s">
        <v>1202</v>
      </c>
      <c r="H85" s="89">
        <f t="shared" si="11"/>
        <v>770.00000000000011</v>
      </c>
      <c r="I85" s="89">
        <f t="shared" si="11"/>
        <v>440.00000000000006</v>
      </c>
      <c r="J85" s="89">
        <f t="shared" si="11"/>
        <v>286</v>
      </c>
      <c r="K85" s="76">
        <f t="shared" si="8"/>
        <v>10.000000000000014</v>
      </c>
      <c r="L85" s="92">
        <f t="shared" si="8"/>
        <v>10.000000000000014</v>
      </c>
      <c r="M85" s="93">
        <f t="shared" si="8"/>
        <v>10.000000000000014</v>
      </c>
      <c r="N85" s="65" t="s">
        <v>102</v>
      </c>
      <c r="O85" s="66"/>
      <c r="P85" s="66"/>
      <c r="Q85" s="66"/>
      <c r="R85" s="66"/>
      <c r="S85" s="66"/>
      <c r="V85" s="14"/>
      <c r="W85" s="14">
        <f t="shared" si="9"/>
        <v>1.1000000000000001</v>
      </c>
    </row>
    <row r="86" spans="1:23" ht="66" x14ac:dyDescent="0.25">
      <c r="A86" s="65" t="s">
        <v>72</v>
      </c>
      <c r="B86" s="69" t="s">
        <v>1203</v>
      </c>
      <c r="C86" s="89">
        <v>400</v>
      </c>
      <c r="D86" s="89">
        <v>280</v>
      </c>
      <c r="E86" s="89">
        <v>200</v>
      </c>
      <c r="F86" s="65" t="s">
        <v>72</v>
      </c>
      <c r="G86" s="69" t="s">
        <v>1203</v>
      </c>
      <c r="H86" s="89">
        <f t="shared" si="11"/>
        <v>440.00000000000006</v>
      </c>
      <c r="I86" s="89">
        <f t="shared" si="11"/>
        <v>308</v>
      </c>
      <c r="J86" s="89">
        <f t="shared" si="11"/>
        <v>220.00000000000003</v>
      </c>
      <c r="K86" s="76">
        <f t="shared" si="8"/>
        <v>10.000000000000014</v>
      </c>
      <c r="L86" s="92">
        <f t="shared" si="8"/>
        <v>10.000000000000014</v>
      </c>
      <c r="M86" s="93">
        <f t="shared" si="8"/>
        <v>10.000000000000014</v>
      </c>
      <c r="N86" s="65" t="s">
        <v>102</v>
      </c>
      <c r="O86" s="66"/>
      <c r="P86" s="66"/>
      <c r="Q86" s="66"/>
      <c r="R86" s="66"/>
      <c r="S86" s="66"/>
      <c r="V86" s="14"/>
      <c r="W86" s="14">
        <f t="shared" si="9"/>
        <v>1.1000000000000001</v>
      </c>
    </row>
    <row r="87" spans="1:23" ht="70.5" customHeight="1" x14ac:dyDescent="0.25">
      <c r="A87" s="65" t="s">
        <v>73</v>
      </c>
      <c r="B87" s="69" t="s">
        <v>1204</v>
      </c>
      <c r="C87" s="89">
        <v>350</v>
      </c>
      <c r="D87" s="89">
        <v>250</v>
      </c>
      <c r="E87" s="89">
        <v>180</v>
      </c>
      <c r="F87" s="65" t="s">
        <v>73</v>
      </c>
      <c r="G87" s="69" t="s">
        <v>1204</v>
      </c>
      <c r="H87" s="89">
        <v>1150</v>
      </c>
      <c r="I87" s="89">
        <f>H87*71%</f>
        <v>816.5</v>
      </c>
      <c r="J87" s="89">
        <f>H87*51%</f>
        <v>586.5</v>
      </c>
      <c r="K87" s="76">
        <f t="shared" si="8"/>
        <v>228.57142857142856</v>
      </c>
      <c r="L87" s="92">
        <f t="shared" si="8"/>
        <v>226.60000000000002</v>
      </c>
      <c r="M87" s="93">
        <f t="shared" si="8"/>
        <v>225.83333333333331</v>
      </c>
      <c r="N87" s="65" t="s">
        <v>1018</v>
      </c>
      <c r="O87" s="66" t="s">
        <v>167</v>
      </c>
      <c r="P87" s="66"/>
      <c r="Q87" s="66">
        <f t="shared" ref="Q87:Q92" si="12">E87/C87*100</f>
        <v>51.428571428571423</v>
      </c>
      <c r="R87" s="66"/>
      <c r="S87" s="66"/>
      <c r="V87" s="14"/>
      <c r="W87" s="14">
        <f t="shared" si="9"/>
        <v>3.2857142857142856</v>
      </c>
    </row>
    <row r="88" spans="1:23" ht="74.25" customHeight="1" x14ac:dyDescent="0.25">
      <c r="A88" s="65" t="s">
        <v>168</v>
      </c>
      <c r="B88" s="62" t="s">
        <v>169</v>
      </c>
      <c r="C88" s="89">
        <v>300</v>
      </c>
      <c r="D88" s="89">
        <v>200</v>
      </c>
      <c r="E88" s="89">
        <v>150</v>
      </c>
      <c r="F88" s="65" t="s">
        <v>74</v>
      </c>
      <c r="G88" s="62" t="s">
        <v>169</v>
      </c>
      <c r="H88" s="89">
        <v>500</v>
      </c>
      <c r="I88" s="89">
        <f>H88*67%</f>
        <v>335</v>
      </c>
      <c r="J88" s="89">
        <f>H88*50%</f>
        <v>250</v>
      </c>
      <c r="K88" s="76">
        <f t="shared" si="8"/>
        <v>66.666666666666686</v>
      </c>
      <c r="L88" s="92">
        <f t="shared" si="8"/>
        <v>67.5</v>
      </c>
      <c r="M88" s="93">
        <f t="shared" si="8"/>
        <v>66.666666666666686</v>
      </c>
      <c r="N88" s="65" t="s">
        <v>102</v>
      </c>
      <c r="O88" s="66"/>
      <c r="P88" s="66"/>
      <c r="Q88" s="66">
        <f t="shared" si="12"/>
        <v>50</v>
      </c>
      <c r="R88" s="66"/>
      <c r="S88" s="66"/>
      <c r="V88" s="14"/>
      <c r="W88" s="14">
        <f t="shared" si="9"/>
        <v>1.6666666666666667</v>
      </c>
    </row>
    <row r="89" spans="1:23" ht="49.5" x14ac:dyDescent="0.25">
      <c r="A89" s="289" t="s">
        <v>74</v>
      </c>
      <c r="B89" s="62" t="s">
        <v>170</v>
      </c>
      <c r="C89" s="89">
        <v>350</v>
      </c>
      <c r="D89" s="89">
        <v>240</v>
      </c>
      <c r="E89" s="89">
        <v>180</v>
      </c>
      <c r="F89" s="289" t="s">
        <v>1305</v>
      </c>
      <c r="G89" s="62" t="s">
        <v>170</v>
      </c>
      <c r="H89" s="89">
        <v>500</v>
      </c>
      <c r="I89" s="89">
        <f>H89*68%</f>
        <v>340</v>
      </c>
      <c r="J89" s="89">
        <f>H89*51%</f>
        <v>255</v>
      </c>
      <c r="K89" s="76">
        <f t="shared" si="8"/>
        <v>42.857142857142861</v>
      </c>
      <c r="L89" s="92">
        <f t="shared" si="8"/>
        <v>41.666666666666686</v>
      </c>
      <c r="M89" s="93">
        <f t="shared" si="8"/>
        <v>41.666666666666686</v>
      </c>
      <c r="N89" s="65" t="s">
        <v>102</v>
      </c>
      <c r="O89" s="66"/>
      <c r="P89" s="66"/>
      <c r="Q89" s="66">
        <f t="shared" si="12"/>
        <v>51.428571428571423</v>
      </c>
      <c r="R89" s="66"/>
      <c r="S89" s="66"/>
      <c r="V89" s="14"/>
      <c r="W89" s="14">
        <f t="shared" si="9"/>
        <v>1.4285714285714286</v>
      </c>
    </row>
    <row r="90" spans="1:23" ht="50.25" customHeight="1" x14ac:dyDescent="0.25">
      <c r="A90" s="289"/>
      <c r="B90" s="62" t="s">
        <v>115</v>
      </c>
      <c r="C90" s="89">
        <v>220</v>
      </c>
      <c r="D90" s="89">
        <v>150</v>
      </c>
      <c r="E90" s="89">
        <v>120</v>
      </c>
      <c r="F90" s="289"/>
      <c r="G90" s="62" t="s">
        <v>115</v>
      </c>
      <c r="H90" s="89">
        <v>500</v>
      </c>
      <c r="I90" s="89">
        <f>H90*68%</f>
        <v>340</v>
      </c>
      <c r="J90" s="89">
        <f>H90*54%</f>
        <v>270</v>
      </c>
      <c r="K90" s="76">
        <f t="shared" si="8"/>
        <v>127.27272727272728</v>
      </c>
      <c r="L90" s="92">
        <f t="shared" si="8"/>
        <v>126.66666666666666</v>
      </c>
      <c r="M90" s="93">
        <f t="shared" si="8"/>
        <v>125</v>
      </c>
      <c r="N90" s="65" t="s">
        <v>1018</v>
      </c>
      <c r="O90" s="66" t="s">
        <v>167</v>
      </c>
      <c r="P90" s="66"/>
      <c r="Q90" s="66">
        <f t="shared" si="12"/>
        <v>54.54545454545454</v>
      </c>
      <c r="R90" s="66"/>
      <c r="S90" s="66"/>
      <c r="V90" s="14"/>
      <c r="W90" s="14">
        <f t="shared" si="9"/>
        <v>2.2727272727272729</v>
      </c>
    </row>
    <row r="91" spans="1:23" ht="41.25" customHeight="1" x14ac:dyDescent="0.25">
      <c r="A91" s="289"/>
      <c r="B91" s="62" t="s">
        <v>116</v>
      </c>
      <c r="C91" s="89">
        <v>200</v>
      </c>
      <c r="D91" s="89">
        <v>130</v>
      </c>
      <c r="E91" s="89">
        <v>100</v>
      </c>
      <c r="F91" s="289"/>
      <c r="G91" s="62" t="s">
        <v>116</v>
      </c>
      <c r="H91" s="89">
        <v>400</v>
      </c>
      <c r="I91" s="89">
        <f>H91*65%</f>
        <v>260</v>
      </c>
      <c r="J91" s="89">
        <f>H91*50%</f>
        <v>200</v>
      </c>
      <c r="K91" s="76">
        <f t="shared" si="8"/>
        <v>100</v>
      </c>
      <c r="L91" s="92">
        <f t="shared" si="8"/>
        <v>100</v>
      </c>
      <c r="M91" s="93">
        <f t="shared" si="8"/>
        <v>100</v>
      </c>
      <c r="N91" s="65" t="s">
        <v>102</v>
      </c>
      <c r="O91" s="66"/>
      <c r="P91" s="66"/>
      <c r="Q91" s="66">
        <f t="shared" si="12"/>
        <v>50</v>
      </c>
      <c r="R91" s="66"/>
      <c r="S91" s="66"/>
      <c r="V91" s="14"/>
      <c r="W91" s="14">
        <f t="shared" si="9"/>
        <v>2</v>
      </c>
    </row>
    <row r="92" spans="1:23" ht="42.75" customHeight="1" x14ac:dyDescent="0.25">
      <c r="A92" s="289"/>
      <c r="B92" s="62" t="s">
        <v>118</v>
      </c>
      <c r="C92" s="89">
        <v>185</v>
      </c>
      <c r="D92" s="89">
        <v>130</v>
      </c>
      <c r="E92" s="89">
        <v>100</v>
      </c>
      <c r="F92" s="289"/>
      <c r="G92" s="62" t="s">
        <v>118</v>
      </c>
      <c r="H92" s="89">
        <v>300</v>
      </c>
      <c r="I92" s="89">
        <f>H92*70%</f>
        <v>210</v>
      </c>
      <c r="J92" s="89">
        <f>H92*54%</f>
        <v>162</v>
      </c>
      <c r="K92" s="76">
        <f t="shared" si="8"/>
        <v>62.162162162162161</v>
      </c>
      <c r="L92" s="92">
        <f t="shared" si="8"/>
        <v>61.538461538461547</v>
      </c>
      <c r="M92" s="93">
        <f t="shared" si="8"/>
        <v>62</v>
      </c>
      <c r="N92" s="65" t="s">
        <v>102</v>
      </c>
      <c r="O92" s="66"/>
      <c r="P92" s="66"/>
      <c r="Q92" s="66">
        <f t="shared" si="12"/>
        <v>54.054054054054056</v>
      </c>
      <c r="R92" s="66"/>
      <c r="S92" s="66"/>
      <c r="V92" s="14"/>
      <c r="W92" s="14">
        <f t="shared" si="9"/>
        <v>1.6216216216216217</v>
      </c>
    </row>
    <row r="93" spans="1:23" ht="16.5" x14ac:dyDescent="0.25">
      <c r="A93" s="65" t="s">
        <v>74</v>
      </c>
      <c r="B93" s="62" t="s">
        <v>53</v>
      </c>
      <c r="C93" s="89">
        <v>120</v>
      </c>
      <c r="D93" s="89">
        <v>100</v>
      </c>
      <c r="E93" s="89">
        <v>90</v>
      </c>
      <c r="F93" s="65" t="s">
        <v>1306</v>
      </c>
      <c r="G93" s="62" t="s">
        <v>53</v>
      </c>
      <c r="H93" s="89">
        <f>C93*1.1</f>
        <v>132</v>
      </c>
      <c r="I93" s="89">
        <f>D93*1.1</f>
        <v>110.00000000000001</v>
      </c>
      <c r="J93" s="89">
        <f>E93*1.1</f>
        <v>99.000000000000014</v>
      </c>
      <c r="K93" s="76">
        <f t="shared" si="8"/>
        <v>10.000000000000014</v>
      </c>
      <c r="L93" s="92">
        <f t="shared" si="8"/>
        <v>10.000000000000014</v>
      </c>
      <c r="M93" s="93">
        <f t="shared" si="8"/>
        <v>10.000000000000014</v>
      </c>
      <c r="N93" s="65" t="s">
        <v>102</v>
      </c>
      <c r="O93" s="66"/>
      <c r="P93" s="66"/>
      <c r="Q93" s="66"/>
      <c r="R93" s="66"/>
      <c r="S93" s="66"/>
      <c r="V93" s="14"/>
      <c r="W93" s="14">
        <f t="shared" si="9"/>
        <v>1.1000000000000001</v>
      </c>
    </row>
    <row r="94" spans="1:23" ht="16.5" x14ac:dyDescent="0.25">
      <c r="A94" s="82">
        <v>6</v>
      </c>
      <c r="B94" s="69" t="s">
        <v>171</v>
      </c>
      <c r="C94" s="89"/>
      <c r="D94" s="89"/>
      <c r="E94" s="89"/>
      <c r="F94" s="82">
        <v>6</v>
      </c>
      <c r="G94" s="69" t="s">
        <v>171</v>
      </c>
      <c r="H94" s="89"/>
      <c r="I94" s="89"/>
      <c r="J94" s="89"/>
      <c r="K94" s="76"/>
      <c r="L94" s="92"/>
      <c r="M94" s="93"/>
      <c r="N94" s="65"/>
      <c r="O94" s="66"/>
      <c r="P94" s="66"/>
      <c r="Q94" s="66"/>
      <c r="R94" s="66"/>
      <c r="S94" s="66"/>
      <c r="V94" s="14"/>
      <c r="W94" s="14" t="e">
        <f t="shared" si="9"/>
        <v>#DIV/0!</v>
      </c>
    </row>
    <row r="95" spans="1:23" ht="78" customHeight="1" x14ac:dyDescent="0.25">
      <c r="A95" s="65" t="s">
        <v>77</v>
      </c>
      <c r="B95" s="69" t="s">
        <v>1205</v>
      </c>
      <c r="C95" s="89">
        <v>600</v>
      </c>
      <c r="D95" s="89">
        <v>350</v>
      </c>
      <c r="E95" s="89">
        <v>250</v>
      </c>
      <c r="F95" s="65" t="s">
        <v>77</v>
      </c>
      <c r="G95" s="115" t="s">
        <v>1295</v>
      </c>
      <c r="H95" s="89">
        <v>970</v>
      </c>
      <c r="I95" s="89">
        <f>H95*58%</f>
        <v>562.59999999999991</v>
      </c>
      <c r="J95" s="89">
        <f>42%*H95</f>
        <v>407.4</v>
      </c>
      <c r="K95" s="76">
        <f t="shared" si="8"/>
        <v>61.666666666666657</v>
      </c>
      <c r="L95" s="92">
        <f t="shared" si="8"/>
        <v>60.742857142857133</v>
      </c>
      <c r="M95" s="93">
        <f t="shared" si="8"/>
        <v>62.95999999999998</v>
      </c>
      <c r="N95" s="99" t="s">
        <v>172</v>
      </c>
      <c r="O95" s="66" t="s">
        <v>173</v>
      </c>
      <c r="P95" s="66"/>
      <c r="Q95" s="66">
        <f>D95/C95*100</f>
        <v>58.333333333333336</v>
      </c>
      <c r="R95" s="66">
        <f>E95/C95*100</f>
        <v>41.666666666666671</v>
      </c>
      <c r="S95" s="66"/>
      <c r="V95" s="14"/>
      <c r="W95" s="14">
        <f t="shared" si="9"/>
        <v>1.6166666666666667</v>
      </c>
    </row>
    <row r="96" spans="1:23" ht="90.75" customHeight="1" x14ac:dyDescent="0.25">
      <c r="A96" s="65"/>
      <c r="B96" s="69"/>
      <c r="C96" s="89"/>
      <c r="D96" s="89"/>
      <c r="E96" s="89"/>
      <c r="F96" s="65" t="s">
        <v>174</v>
      </c>
      <c r="G96" s="62" t="s">
        <v>175</v>
      </c>
      <c r="H96" s="89">
        <v>1000</v>
      </c>
      <c r="I96" s="89">
        <f>H96*58%</f>
        <v>580</v>
      </c>
      <c r="J96" s="89">
        <f>H96*42%</f>
        <v>420</v>
      </c>
      <c r="K96" s="76"/>
      <c r="L96" s="92"/>
      <c r="M96" s="93"/>
      <c r="N96" s="65" t="s">
        <v>1019</v>
      </c>
      <c r="O96" s="66"/>
      <c r="P96" s="66"/>
      <c r="Q96" s="66"/>
      <c r="R96" s="66"/>
      <c r="S96" s="66"/>
      <c r="V96" s="14"/>
      <c r="W96" s="14" t="e">
        <f t="shared" si="9"/>
        <v>#DIV/0!</v>
      </c>
    </row>
    <row r="97" spans="1:23" ht="54" customHeight="1" x14ac:dyDescent="0.25">
      <c r="A97" s="65" t="s">
        <v>78</v>
      </c>
      <c r="B97" s="69" t="s">
        <v>1206</v>
      </c>
      <c r="C97" s="89">
        <v>650</v>
      </c>
      <c r="D97" s="89">
        <v>350</v>
      </c>
      <c r="E97" s="89">
        <v>280</v>
      </c>
      <c r="F97" s="65" t="s">
        <v>78</v>
      </c>
      <c r="G97" s="69" t="s">
        <v>1206</v>
      </c>
      <c r="H97" s="89">
        <v>1000</v>
      </c>
      <c r="I97" s="89">
        <f>H97*54%</f>
        <v>540</v>
      </c>
      <c r="J97" s="89">
        <f>H97*43%</f>
        <v>430</v>
      </c>
      <c r="K97" s="76">
        <f t="shared" si="8"/>
        <v>53.846153846153868</v>
      </c>
      <c r="L97" s="92">
        <f t="shared" si="8"/>
        <v>54.285714285714306</v>
      </c>
      <c r="M97" s="93">
        <f t="shared" si="8"/>
        <v>53.571428571428584</v>
      </c>
      <c r="N97" s="65" t="s">
        <v>102</v>
      </c>
      <c r="O97" s="66" t="s">
        <v>176</v>
      </c>
      <c r="P97" s="66"/>
      <c r="Q97" s="66">
        <f>D97/C97*100</f>
        <v>53.846153846153847</v>
      </c>
      <c r="R97" s="66">
        <f>E97/C97*100</f>
        <v>43.07692307692308</v>
      </c>
      <c r="S97" s="66"/>
      <c r="V97" s="14"/>
      <c r="W97" s="14">
        <f t="shared" si="9"/>
        <v>1.5384615384615385</v>
      </c>
    </row>
    <row r="98" spans="1:23" ht="97.5" customHeight="1" x14ac:dyDescent="0.25">
      <c r="A98" s="65" t="s">
        <v>79</v>
      </c>
      <c r="B98" s="69" t="s">
        <v>1207</v>
      </c>
      <c r="C98" s="89">
        <v>500</v>
      </c>
      <c r="D98" s="89">
        <v>300</v>
      </c>
      <c r="E98" s="89">
        <v>180</v>
      </c>
      <c r="F98" s="65" t="s">
        <v>79</v>
      </c>
      <c r="G98" s="103" t="s">
        <v>177</v>
      </c>
      <c r="H98" s="89">
        <v>900</v>
      </c>
      <c r="I98" s="89">
        <f>H98*60%</f>
        <v>540</v>
      </c>
      <c r="J98" s="89">
        <f>H98*36%</f>
        <v>324</v>
      </c>
      <c r="K98" s="76">
        <f t="shared" si="8"/>
        <v>80</v>
      </c>
      <c r="L98" s="92">
        <f t="shared" si="8"/>
        <v>80</v>
      </c>
      <c r="M98" s="93">
        <f t="shared" si="8"/>
        <v>80</v>
      </c>
      <c r="N98" s="65" t="s">
        <v>1019</v>
      </c>
      <c r="O98" s="66" t="s">
        <v>178</v>
      </c>
      <c r="P98" s="66"/>
      <c r="Q98" s="66">
        <f>D98/C98*100</f>
        <v>60</v>
      </c>
      <c r="R98" s="66">
        <f>E98/C98*100</f>
        <v>36</v>
      </c>
      <c r="S98" s="66"/>
      <c r="V98" s="14"/>
      <c r="W98" s="14">
        <f t="shared" si="9"/>
        <v>1.8</v>
      </c>
    </row>
    <row r="99" spans="1:23" ht="56.25" customHeight="1" x14ac:dyDescent="0.25">
      <c r="A99" s="65"/>
      <c r="B99" s="69"/>
      <c r="C99" s="89"/>
      <c r="D99" s="89"/>
      <c r="E99" s="89"/>
      <c r="F99" s="65" t="s">
        <v>179</v>
      </c>
      <c r="G99" s="62" t="s">
        <v>180</v>
      </c>
      <c r="H99" s="89">
        <v>800</v>
      </c>
      <c r="I99" s="89">
        <f>H99*60%</f>
        <v>480</v>
      </c>
      <c r="J99" s="89">
        <f>H99*36%</f>
        <v>288</v>
      </c>
      <c r="K99" s="76"/>
      <c r="L99" s="92"/>
      <c r="M99" s="93"/>
      <c r="N99" s="65" t="s">
        <v>1019</v>
      </c>
      <c r="O99" s="66"/>
      <c r="P99" s="66"/>
      <c r="Q99" s="66"/>
      <c r="R99" s="66"/>
      <c r="S99" s="66"/>
      <c r="V99" s="14"/>
      <c r="W99" s="14" t="e">
        <f t="shared" si="9"/>
        <v>#DIV/0!</v>
      </c>
    </row>
    <row r="100" spans="1:23" ht="61.5" customHeight="1" x14ac:dyDescent="0.25">
      <c r="A100" s="65" t="s">
        <v>181</v>
      </c>
      <c r="B100" s="62" t="s">
        <v>182</v>
      </c>
      <c r="C100" s="89">
        <v>400</v>
      </c>
      <c r="D100" s="89">
        <v>280</v>
      </c>
      <c r="E100" s="89">
        <v>200</v>
      </c>
      <c r="F100" s="65" t="s">
        <v>181</v>
      </c>
      <c r="G100" s="62" t="s">
        <v>182</v>
      </c>
      <c r="H100" s="89">
        <v>570</v>
      </c>
      <c r="I100" s="89">
        <f>H100*70%</f>
        <v>399</v>
      </c>
      <c r="J100" s="89">
        <f>H100*50%</f>
        <v>285</v>
      </c>
      <c r="K100" s="76">
        <f t="shared" si="8"/>
        <v>42.5</v>
      </c>
      <c r="L100" s="92">
        <f t="shared" si="8"/>
        <v>42.5</v>
      </c>
      <c r="M100" s="93">
        <f t="shared" si="8"/>
        <v>42.5</v>
      </c>
      <c r="N100" s="65" t="s">
        <v>1020</v>
      </c>
      <c r="O100" s="66" t="s">
        <v>183</v>
      </c>
      <c r="P100" s="66"/>
      <c r="Q100" s="66">
        <f>D100/C100*100</f>
        <v>70</v>
      </c>
      <c r="R100" s="66">
        <f>E100/C100*100</f>
        <v>50</v>
      </c>
      <c r="S100" s="66"/>
      <c r="V100" s="14"/>
      <c r="W100" s="14">
        <f t="shared" si="9"/>
        <v>1.425</v>
      </c>
    </row>
    <row r="101" spans="1:23" ht="38.25" customHeight="1" x14ac:dyDescent="0.25">
      <c r="A101" s="65" t="s">
        <v>82</v>
      </c>
      <c r="B101" s="62" t="s">
        <v>184</v>
      </c>
      <c r="C101" s="89">
        <v>400</v>
      </c>
      <c r="D101" s="89">
        <v>280</v>
      </c>
      <c r="E101" s="89">
        <v>200</v>
      </c>
      <c r="F101" s="65" t="s">
        <v>82</v>
      </c>
      <c r="G101" s="62" t="s">
        <v>184</v>
      </c>
      <c r="H101" s="57">
        <v>450</v>
      </c>
      <c r="I101" s="57">
        <f t="shared" ref="I101:J103" si="13">D101*1.13</f>
        <v>316.39999999999998</v>
      </c>
      <c r="J101" s="57">
        <f t="shared" si="13"/>
        <v>225.99999999999997</v>
      </c>
      <c r="K101" s="76">
        <f t="shared" si="8"/>
        <v>12.5</v>
      </c>
      <c r="L101" s="92">
        <f t="shared" si="8"/>
        <v>12.999999999999986</v>
      </c>
      <c r="M101" s="93">
        <f t="shared" si="8"/>
        <v>12.999999999999986</v>
      </c>
      <c r="N101" s="65" t="s">
        <v>102</v>
      </c>
      <c r="O101" s="66"/>
      <c r="P101" s="94">
        <f>H101/C101</f>
        <v>1.125</v>
      </c>
      <c r="Q101" s="66"/>
      <c r="R101" s="66"/>
      <c r="S101" s="66"/>
      <c r="V101" s="14"/>
      <c r="W101" s="14">
        <f t="shared" si="9"/>
        <v>1.125</v>
      </c>
    </row>
    <row r="102" spans="1:23" ht="55.5" customHeight="1" x14ac:dyDescent="0.25">
      <c r="A102" s="65" t="s">
        <v>83</v>
      </c>
      <c r="B102" s="62" t="s">
        <v>185</v>
      </c>
      <c r="C102" s="89">
        <v>400</v>
      </c>
      <c r="D102" s="89">
        <v>280</v>
      </c>
      <c r="E102" s="89">
        <v>200</v>
      </c>
      <c r="F102" s="65" t="s">
        <v>83</v>
      </c>
      <c r="G102" s="62" t="s">
        <v>185</v>
      </c>
      <c r="H102" s="57">
        <v>450</v>
      </c>
      <c r="I102" s="57">
        <f t="shared" si="13"/>
        <v>316.39999999999998</v>
      </c>
      <c r="J102" s="57">
        <f t="shared" si="13"/>
        <v>225.99999999999997</v>
      </c>
      <c r="K102" s="76">
        <f t="shared" si="8"/>
        <v>12.5</v>
      </c>
      <c r="L102" s="92">
        <f t="shared" si="8"/>
        <v>12.999999999999986</v>
      </c>
      <c r="M102" s="93">
        <f t="shared" si="8"/>
        <v>12.999999999999986</v>
      </c>
      <c r="N102" s="65" t="s">
        <v>102</v>
      </c>
      <c r="O102" s="66"/>
      <c r="P102" s="66"/>
      <c r="Q102" s="66"/>
      <c r="R102" s="66"/>
      <c r="S102" s="66"/>
      <c r="V102" s="14"/>
      <c r="W102" s="14">
        <f t="shared" si="9"/>
        <v>1.125</v>
      </c>
    </row>
    <row r="103" spans="1:23" ht="49.5" x14ac:dyDescent="0.25">
      <c r="A103" s="65" t="s">
        <v>186</v>
      </c>
      <c r="B103" s="69" t="s">
        <v>1208</v>
      </c>
      <c r="C103" s="89">
        <v>400</v>
      </c>
      <c r="D103" s="89">
        <v>280</v>
      </c>
      <c r="E103" s="89">
        <v>200</v>
      </c>
      <c r="F103" s="65" t="s">
        <v>186</v>
      </c>
      <c r="G103" s="69" t="s">
        <v>1208</v>
      </c>
      <c r="H103" s="57">
        <v>450</v>
      </c>
      <c r="I103" s="57">
        <f t="shared" si="13"/>
        <v>316.39999999999998</v>
      </c>
      <c r="J103" s="57">
        <f t="shared" si="13"/>
        <v>225.99999999999997</v>
      </c>
      <c r="K103" s="76">
        <f t="shared" si="8"/>
        <v>12.5</v>
      </c>
      <c r="L103" s="92">
        <f t="shared" si="8"/>
        <v>12.999999999999986</v>
      </c>
      <c r="M103" s="93">
        <f t="shared" si="8"/>
        <v>12.999999999999986</v>
      </c>
      <c r="N103" s="65" t="s">
        <v>102</v>
      </c>
      <c r="O103" s="66"/>
      <c r="P103" s="66"/>
      <c r="Q103" s="66"/>
      <c r="R103" s="66"/>
      <c r="S103" s="66"/>
      <c r="V103" s="14"/>
      <c r="W103" s="14">
        <f t="shared" si="9"/>
        <v>1.125</v>
      </c>
    </row>
    <row r="104" spans="1:23" ht="45.75" customHeight="1" x14ac:dyDescent="0.25">
      <c r="A104" s="65" t="s">
        <v>187</v>
      </c>
      <c r="B104" s="69" t="s">
        <v>1209</v>
      </c>
      <c r="C104" s="89">
        <v>380</v>
      </c>
      <c r="D104" s="89">
        <v>260</v>
      </c>
      <c r="E104" s="89">
        <v>180</v>
      </c>
      <c r="F104" s="65" t="s">
        <v>187</v>
      </c>
      <c r="G104" s="69" t="s">
        <v>1209</v>
      </c>
      <c r="H104" s="89">
        <v>560</v>
      </c>
      <c r="I104" s="89">
        <f>H104*60%</f>
        <v>336</v>
      </c>
      <c r="J104" s="89">
        <f>H104*47%</f>
        <v>263.2</v>
      </c>
      <c r="K104" s="76">
        <f t="shared" si="8"/>
        <v>47.368421052631561</v>
      </c>
      <c r="L104" s="92">
        <f t="shared" si="8"/>
        <v>29.230769230769226</v>
      </c>
      <c r="M104" s="93">
        <f t="shared" si="8"/>
        <v>46.2222222222222</v>
      </c>
      <c r="N104" s="65" t="s">
        <v>1021</v>
      </c>
      <c r="O104" s="66" t="s">
        <v>188</v>
      </c>
      <c r="P104" s="66"/>
      <c r="Q104" s="66">
        <f>D104/C104*100</f>
        <v>68.421052631578945</v>
      </c>
      <c r="R104" s="66">
        <f>E104/C104*100</f>
        <v>47.368421052631575</v>
      </c>
      <c r="S104" s="66"/>
      <c r="V104" s="14"/>
      <c r="W104" s="14">
        <f t="shared" si="9"/>
        <v>1.4736842105263157</v>
      </c>
    </row>
    <row r="105" spans="1:23" ht="38.25" customHeight="1" x14ac:dyDescent="0.25">
      <c r="A105" s="65" t="s">
        <v>189</v>
      </c>
      <c r="B105" s="69" t="s">
        <v>190</v>
      </c>
      <c r="C105" s="89">
        <v>550</v>
      </c>
      <c r="D105" s="89">
        <v>350</v>
      </c>
      <c r="E105" s="89">
        <v>250</v>
      </c>
      <c r="F105" s="65" t="s">
        <v>189</v>
      </c>
      <c r="G105" s="69" t="s">
        <v>190</v>
      </c>
      <c r="H105" s="89">
        <v>720</v>
      </c>
      <c r="I105" s="89">
        <f>H105*64%</f>
        <v>460.8</v>
      </c>
      <c r="J105" s="89">
        <f>H105*45%</f>
        <v>324</v>
      </c>
      <c r="K105" s="76">
        <f t="shared" si="8"/>
        <v>30.909090909090907</v>
      </c>
      <c r="L105" s="92">
        <f t="shared" si="8"/>
        <v>31.657142857142844</v>
      </c>
      <c r="M105" s="93">
        <f t="shared" si="8"/>
        <v>29.599999999999994</v>
      </c>
      <c r="N105" s="65" t="s">
        <v>1021</v>
      </c>
      <c r="O105" s="66" t="s">
        <v>191</v>
      </c>
      <c r="P105" s="66"/>
      <c r="Q105" s="66">
        <f>D105/C105*100</f>
        <v>63.636363636363633</v>
      </c>
      <c r="R105" s="66">
        <f>E105/C105*100</f>
        <v>45.454545454545453</v>
      </c>
      <c r="S105" s="66"/>
      <c r="V105" s="14"/>
      <c r="W105" s="14">
        <f t="shared" si="9"/>
        <v>1.3090909090909091</v>
      </c>
    </row>
    <row r="106" spans="1:23" ht="105.75" customHeight="1" x14ac:dyDescent="0.25">
      <c r="A106" s="65"/>
      <c r="B106" s="62"/>
      <c r="C106" s="89"/>
      <c r="D106" s="89"/>
      <c r="E106" s="89"/>
      <c r="F106" s="65" t="s">
        <v>192</v>
      </c>
      <c r="G106" s="103" t="s">
        <v>193</v>
      </c>
      <c r="H106" s="89">
        <v>700</v>
      </c>
      <c r="I106" s="89">
        <f>H106*60%</f>
        <v>420</v>
      </c>
      <c r="J106" s="89">
        <f>H106*36%</f>
        <v>252</v>
      </c>
      <c r="K106" s="76"/>
      <c r="L106" s="92"/>
      <c r="M106" s="93"/>
      <c r="N106" s="65" t="s">
        <v>1022</v>
      </c>
      <c r="O106" s="65"/>
      <c r="P106" s="65" t="s">
        <v>112</v>
      </c>
      <c r="Q106" s="66" t="s">
        <v>194</v>
      </c>
      <c r="R106" s="66"/>
      <c r="S106" s="66"/>
      <c r="V106" s="14"/>
      <c r="W106" s="14" t="e">
        <f t="shared" si="9"/>
        <v>#DIV/0!</v>
      </c>
    </row>
    <row r="107" spans="1:23" ht="42" customHeight="1" x14ac:dyDescent="0.25">
      <c r="A107" s="289" t="s">
        <v>195</v>
      </c>
      <c r="B107" s="62" t="s">
        <v>115</v>
      </c>
      <c r="C107" s="89">
        <v>220</v>
      </c>
      <c r="D107" s="89">
        <v>150</v>
      </c>
      <c r="E107" s="89">
        <v>120</v>
      </c>
      <c r="F107" s="289" t="s">
        <v>195</v>
      </c>
      <c r="G107" s="62" t="s">
        <v>115</v>
      </c>
      <c r="H107" s="89">
        <v>450</v>
      </c>
      <c r="I107" s="89">
        <f>H107*68%</f>
        <v>306</v>
      </c>
      <c r="J107" s="89">
        <f>H107*55%</f>
        <v>247.50000000000003</v>
      </c>
      <c r="K107" s="76">
        <f t="shared" si="8"/>
        <v>104.54545454545453</v>
      </c>
      <c r="L107" s="92">
        <f t="shared" si="8"/>
        <v>104</v>
      </c>
      <c r="M107" s="93">
        <f t="shared" si="8"/>
        <v>106.25000000000006</v>
      </c>
      <c r="N107" s="65" t="s">
        <v>102</v>
      </c>
      <c r="O107" s="66"/>
      <c r="P107" s="66"/>
      <c r="Q107" s="66">
        <f>D107/C107*100</f>
        <v>68.181818181818173</v>
      </c>
      <c r="R107" s="66">
        <f>E107/C107*100</f>
        <v>54.54545454545454</v>
      </c>
      <c r="S107" s="66"/>
      <c r="V107" s="14"/>
      <c r="W107" s="14">
        <f t="shared" si="9"/>
        <v>2.0454545454545454</v>
      </c>
    </row>
    <row r="108" spans="1:23" ht="42" customHeight="1" x14ac:dyDescent="0.25">
      <c r="A108" s="289"/>
      <c r="B108" s="62" t="s">
        <v>116</v>
      </c>
      <c r="C108" s="89">
        <v>200</v>
      </c>
      <c r="D108" s="89">
        <v>130</v>
      </c>
      <c r="E108" s="89">
        <v>100</v>
      </c>
      <c r="F108" s="289"/>
      <c r="G108" s="62" t="s">
        <v>116</v>
      </c>
      <c r="H108" s="89">
        <v>345</v>
      </c>
      <c r="I108" s="89">
        <f>H108*65%</f>
        <v>224.25</v>
      </c>
      <c r="J108" s="89">
        <f>H108*50%</f>
        <v>172.5</v>
      </c>
      <c r="K108" s="76">
        <f t="shared" si="8"/>
        <v>72.5</v>
      </c>
      <c r="L108" s="92">
        <f t="shared" si="8"/>
        <v>72.5</v>
      </c>
      <c r="M108" s="93">
        <f t="shared" si="8"/>
        <v>72.5</v>
      </c>
      <c r="N108" s="99" t="s">
        <v>196</v>
      </c>
      <c r="O108" s="66"/>
      <c r="P108" s="66"/>
      <c r="Q108" s="66">
        <f>D108/C108*100</f>
        <v>65</v>
      </c>
      <c r="R108" s="66">
        <f>E108/C108*100</f>
        <v>50</v>
      </c>
      <c r="S108" s="66"/>
      <c r="V108" s="14"/>
      <c r="W108" s="14">
        <f t="shared" si="9"/>
        <v>1.7250000000000001</v>
      </c>
    </row>
    <row r="109" spans="1:23" ht="42" customHeight="1" x14ac:dyDescent="0.25">
      <c r="A109" s="289"/>
      <c r="B109" s="62" t="s">
        <v>118</v>
      </c>
      <c r="C109" s="89">
        <v>185</v>
      </c>
      <c r="D109" s="89">
        <v>130</v>
      </c>
      <c r="E109" s="89">
        <v>100</v>
      </c>
      <c r="F109" s="289"/>
      <c r="G109" s="62" t="s">
        <v>118</v>
      </c>
      <c r="H109" s="89">
        <v>300</v>
      </c>
      <c r="I109" s="89">
        <f>H109*70%</f>
        <v>210</v>
      </c>
      <c r="J109" s="89">
        <f>H109*54%</f>
        <v>162</v>
      </c>
      <c r="K109" s="76">
        <f t="shared" si="8"/>
        <v>62.162162162162161</v>
      </c>
      <c r="L109" s="92">
        <f t="shared" si="8"/>
        <v>61.538461538461547</v>
      </c>
      <c r="M109" s="93">
        <f t="shared" si="8"/>
        <v>62</v>
      </c>
      <c r="N109" s="65" t="s">
        <v>102</v>
      </c>
      <c r="O109" s="66"/>
      <c r="P109" s="66"/>
      <c r="Q109" s="66">
        <f>D109/C109*100</f>
        <v>70.270270270270274</v>
      </c>
      <c r="R109" s="66">
        <f>E109/C109*100</f>
        <v>54.054054054054056</v>
      </c>
      <c r="S109" s="66"/>
      <c r="V109" s="14"/>
      <c r="W109" s="14">
        <f t="shared" si="9"/>
        <v>1.6216216216216217</v>
      </c>
    </row>
    <row r="110" spans="1:23" ht="33" x14ac:dyDescent="0.25">
      <c r="A110" s="65" t="s">
        <v>197</v>
      </c>
      <c r="B110" s="62" t="s">
        <v>53</v>
      </c>
      <c r="C110" s="89">
        <v>120</v>
      </c>
      <c r="D110" s="89">
        <v>100</v>
      </c>
      <c r="E110" s="89">
        <v>90</v>
      </c>
      <c r="F110" s="65" t="s">
        <v>197</v>
      </c>
      <c r="G110" s="62" t="s">
        <v>53</v>
      </c>
      <c r="H110" s="89">
        <f>C110*1.1</f>
        <v>132</v>
      </c>
      <c r="I110" s="89">
        <f>D110*1.1</f>
        <v>110.00000000000001</v>
      </c>
      <c r="J110" s="89">
        <f>E110*1.1</f>
        <v>99.000000000000014</v>
      </c>
      <c r="K110" s="76">
        <f t="shared" si="8"/>
        <v>10.000000000000014</v>
      </c>
      <c r="L110" s="92">
        <f t="shared" si="8"/>
        <v>10.000000000000014</v>
      </c>
      <c r="M110" s="93">
        <f t="shared" si="8"/>
        <v>10.000000000000014</v>
      </c>
      <c r="N110" s="65" t="s">
        <v>102</v>
      </c>
      <c r="O110" s="66"/>
      <c r="P110" s="66"/>
      <c r="Q110" s="66"/>
      <c r="R110" s="66"/>
      <c r="S110" s="66"/>
      <c r="V110" s="14"/>
      <c r="W110" s="14">
        <f t="shared" si="9"/>
        <v>1.1000000000000001</v>
      </c>
    </row>
    <row r="111" spans="1:23" ht="16.5" x14ac:dyDescent="0.25">
      <c r="A111" s="82">
        <v>7</v>
      </c>
      <c r="B111" s="69" t="s">
        <v>198</v>
      </c>
      <c r="C111" s="89"/>
      <c r="D111" s="89"/>
      <c r="E111" s="89"/>
      <c r="F111" s="82">
        <v>7</v>
      </c>
      <c r="G111" s="69" t="s">
        <v>198</v>
      </c>
      <c r="H111" s="89"/>
      <c r="I111" s="89"/>
      <c r="J111" s="89"/>
      <c r="K111" s="76"/>
      <c r="L111" s="92"/>
      <c r="M111" s="93"/>
      <c r="N111" s="65"/>
      <c r="O111" s="66"/>
      <c r="P111" s="66"/>
      <c r="Q111" s="66"/>
      <c r="R111" s="66"/>
      <c r="S111" s="66"/>
      <c r="V111" s="14"/>
      <c r="W111" s="14" t="e">
        <f t="shared" si="9"/>
        <v>#DIV/0!</v>
      </c>
    </row>
    <row r="112" spans="1:23" ht="55.5" customHeight="1" x14ac:dyDescent="0.25">
      <c r="A112" s="65" t="s">
        <v>199</v>
      </c>
      <c r="B112" s="69" t="s">
        <v>1210</v>
      </c>
      <c r="C112" s="89">
        <v>3500</v>
      </c>
      <c r="D112" s="89">
        <v>1850</v>
      </c>
      <c r="E112" s="89">
        <v>950</v>
      </c>
      <c r="F112" s="65" t="s">
        <v>199</v>
      </c>
      <c r="G112" s="69" t="s">
        <v>1210</v>
      </c>
      <c r="H112" s="57">
        <v>3900</v>
      </c>
      <c r="I112" s="57">
        <f>D112*1.11</f>
        <v>2053.5</v>
      </c>
      <c r="J112" s="57">
        <f>E112*1.11</f>
        <v>1054.5</v>
      </c>
      <c r="K112" s="76">
        <f t="shared" si="8"/>
        <v>11.428571428571431</v>
      </c>
      <c r="L112" s="92">
        <f t="shared" si="8"/>
        <v>11.000000000000014</v>
      </c>
      <c r="M112" s="93">
        <f t="shared" si="8"/>
        <v>11.000000000000014</v>
      </c>
      <c r="N112" s="65" t="s">
        <v>102</v>
      </c>
      <c r="O112" s="66"/>
      <c r="P112" s="66"/>
      <c r="Q112" s="66"/>
      <c r="R112" s="66"/>
      <c r="S112" s="66"/>
      <c r="V112" s="14"/>
      <c r="W112" s="14">
        <f t="shared" si="9"/>
        <v>1.1142857142857143</v>
      </c>
    </row>
    <row r="113" spans="1:23" ht="51.75" customHeight="1" x14ac:dyDescent="0.25">
      <c r="A113" s="65" t="s">
        <v>200</v>
      </c>
      <c r="B113" s="69" t="s">
        <v>1211</v>
      </c>
      <c r="C113" s="89">
        <v>2500</v>
      </c>
      <c r="D113" s="89">
        <v>1450</v>
      </c>
      <c r="E113" s="89">
        <v>600</v>
      </c>
      <c r="F113" s="65" t="s">
        <v>200</v>
      </c>
      <c r="G113" s="69" t="s">
        <v>1211</v>
      </c>
      <c r="H113" s="57">
        <v>2800</v>
      </c>
      <c r="I113" s="57">
        <f>D113*1.12</f>
        <v>1624.0000000000002</v>
      </c>
      <c r="J113" s="57">
        <f>E113*1.12</f>
        <v>672.00000000000011</v>
      </c>
      <c r="K113" s="76">
        <f t="shared" si="8"/>
        <v>12.000000000000014</v>
      </c>
      <c r="L113" s="92">
        <f t="shared" si="8"/>
        <v>12.000000000000014</v>
      </c>
      <c r="M113" s="93">
        <f t="shared" si="8"/>
        <v>12.000000000000014</v>
      </c>
      <c r="N113" s="65" t="s">
        <v>102</v>
      </c>
      <c r="O113" s="66"/>
      <c r="P113" s="66">
        <f>H113/C113</f>
        <v>1.1200000000000001</v>
      </c>
      <c r="Q113" s="66"/>
      <c r="R113" s="66"/>
      <c r="S113" s="66"/>
      <c r="V113" s="14"/>
      <c r="W113" s="14">
        <f t="shared" si="9"/>
        <v>1.1200000000000001</v>
      </c>
    </row>
    <row r="114" spans="1:23" ht="51.75" customHeight="1" x14ac:dyDescent="0.25">
      <c r="A114" s="65" t="s">
        <v>201</v>
      </c>
      <c r="B114" s="69" t="s">
        <v>1212</v>
      </c>
      <c r="C114" s="89">
        <v>1200</v>
      </c>
      <c r="D114" s="89">
        <v>680</v>
      </c>
      <c r="E114" s="89">
        <v>360</v>
      </c>
      <c r="F114" s="65" t="s">
        <v>201</v>
      </c>
      <c r="G114" s="69" t="s">
        <v>1212</v>
      </c>
      <c r="H114" s="89">
        <f t="shared" ref="H114:J114" si="14">C114*1.1</f>
        <v>1320</v>
      </c>
      <c r="I114" s="89">
        <f t="shared" si="14"/>
        <v>748.00000000000011</v>
      </c>
      <c r="J114" s="89">
        <f t="shared" si="14"/>
        <v>396.00000000000006</v>
      </c>
      <c r="K114" s="76">
        <f t="shared" si="8"/>
        <v>10.000000000000014</v>
      </c>
      <c r="L114" s="92">
        <f t="shared" si="8"/>
        <v>10.000000000000014</v>
      </c>
      <c r="M114" s="93">
        <f t="shared" si="8"/>
        <v>10.000000000000014</v>
      </c>
      <c r="N114" s="65" t="s">
        <v>102</v>
      </c>
      <c r="O114" s="66"/>
      <c r="P114" s="66"/>
      <c r="Q114" s="66"/>
      <c r="R114" s="66"/>
      <c r="S114" s="66"/>
      <c r="V114" s="14"/>
      <c r="W114" s="14">
        <f t="shared" si="9"/>
        <v>1.1000000000000001</v>
      </c>
    </row>
    <row r="115" spans="1:23" ht="49.5" x14ac:dyDescent="0.25">
      <c r="A115" s="65" t="s">
        <v>202</v>
      </c>
      <c r="B115" s="62" t="s">
        <v>203</v>
      </c>
      <c r="C115" s="89">
        <v>600</v>
      </c>
      <c r="D115" s="89">
        <v>350</v>
      </c>
      <c r="E115" s="89">
        <v>250</v>
      </c>
      <c r="F115" s="65" t="s">
        <v>202</v>
      </c>
      <c r="G115" s="62" t="s">
        <v>203</v>
      </c>
      <c r="H115" s="57">
        <v>670</v>
      </c>
      <c r="I115" s="57">
        <f>D115*1.12</f>
        <v>392.00000000000006</v>
      </c>
      <c r="J115" s="57">
        <f>E115*1.12</f>
        <v>280</v>
      </c>
      <c r="K115" s="76">
        <f t="shared" si="8"/>
        <v>11.666666666666671</v>
      </c>
      <c r="L115" s="92">
        <f t="shared" si="8"/>
        <v>12.000000000000014</v>
      </c>
      <c r="M115" s="93">
        <f t="shared" si="8"/>
        <v>12.000000000000014</v>
      </c>
      <c r="N115" s="65" t="s">
        <v>102</v>
      </c>
      <c r="O115" s="66"/>
      <c r="P115" s="66"/>
      <c r="Q115" s="66"/>
      <c r="R115" s="66"/>
      <c r="S115" s="66"/>
      <c r="V115" s="14"/>
      <c r="W115" s="14">
        <f t="shared" si="9"/>
        <v>1.1166666666666667</v>
      </c>
    </row>
    <row r="116" spans="1:23" ht="42.75" customHeight="1" x14ac:dyDescent="0.25">
      <c r="A116" s="65" t="s">
        <v>204</v>
      </c>
      <c r="B116" s="62" t="s">
        <v>205</v>
      </c>
      <c r="C116" s="89">
        <v>275</v>
      </c>
      <c r="D116" s="89">
        <v>180</v>
      </c>
      <c r="E116" s="89">
        <v>140</v>
      </c>
      <c r="F116" s="65" t="s">
        <v>204</v>
      </c>
      <c r="G116" s="62" t="s">
        <v>205</v>
      </c>
      <c r="H116" s="57">
        <v>304</v>
      </c>
      <c r="I116" s="57">
        <f>D116*1.11</f>
        <v>199.8</v>
      </c>
      <c r="J116" s="57">
        <f>E116*1.11</f>
        <v>155.4</v>
      </c>
      <c r="K116" s="76">
        <f t="shared" si="8"/>
        <v>10.545454545454547</v>
      </c>
      <c r="L116" s="92">
        <f t="shared" si="8"/>
        <v>11.000000000000014</v>
      </c>
      <c r="M116" s="93">
        <f t="shared" si="8"/>
        <v>11.000000000000014</v>
      </c>
      <c r="N116" s="65" t="s">
        <v>102</v>
      </c>
      <c r="O116" s="66"/>
      <c r="P116" s="66"/>
      <c r="Q116" s="66"/>
      <c r="R116" s="66"/>
      <c r="S116" s="66"/>
      <c r="V116" s="14"/>
      <c r="W116" s="14">
        <f t="shared" si="9"/>
        <v>1.1054545454545455</v>
      </c>
    </row>
    <row r="117" spans="1:23" ht="81.75" customHeight="1" x14ac:dyDescent="0.25">
      <c r="A117" s="65" t="s">
        <v>206</v>
      </c>
      <c r="B117" s="62" t="s">
        <v>207</v>
      </c>
      <c r="C117" s="89">
        <v>600</v>
      </c>
      <c r="D117" s="89">
        <v>350</v>
      </c>
      <c r="E117" s="89">
        <v>250</v>
      </c>
      <c r="F117" s="65" t="s">
        <v>206</v>
      </c>
      <c r="G117" s="62" t="s">
        <v>207</v>
      </c>
      <c r="H117" s="57">
        <v>670</v>
      </c>
      <c r="I117" s="57">
        <f>D117*1.12</f>
        <v>392.00000000000006</v>
      </c>
      <c r="J117" s="57">
        <f>E117*1.12</f>
        <v>280</v>
      </c>
      <c r="K117" s="76">
        <f t="shared" si="8"/>
        <v>11.666666666666671</v>
      </c>
      <c r="L117" s="92">
        <f t="shared" si="8"/>
        <v>12.000000000000014</v>
      </c>
      <c r="M117" s="93">
        <f t="shared" si="8"/>
        <v>12.000000000000014</v>
      </c>
      <c r="N117" s="65" t="s">
        <v>102</v>
      </c>
      <c r="O117" s="66"/>
      <c r="P117" s="66"/>
      <c r="Q117" s="66"/>
      <c r="R117" s="66"/>
      <c r="S117" s="66"/>
      <c r="V117" s="14"/>
      <c r="W117" s="14">
        <f t="shared" si="9"/>
        <v>1.1166666666666667</v>
      </c>
    </row>
    <row r="118" spans="1:23" ht="50.25" customHeight="1" x14ac:dyDescent="0.25">
      <c r="A118" s="65" t="s">
        <v>208</v>
      </c>
      <c r="B118" s="62" t="s">
        <v>209</v>
      </c>
      <c r="C118" s="89">
        <v>1000</v>
      </c>
      <c r="D118" s="89">
        <v>600</v>
      </c>
      <c r="E118" s="89">
        <v>400</v>
      </c>
      <c r="F118" s="65" t="s">
        <v>208</v>
      </c>
      <c r="G118" s="62" t="s">
        <v>209</v>
      </c>
      <c r="H118" s="89">
        <f>1000*1.1</f>
        <v>1100</v>
      </c>
      <c r="I118" s="89">
        <f>600*1.1</f>
        <v>660</v>
      </c>
      <c r="J118" s="89">
        <f>400*1.1</f>
        <v>440.00000000000006</v>
      </c>
      <c r="K118" s="76">
        <f t="shared" si="8"/>
        <v>10.000000000000014</v>
      </c>
      <c r="L118" s="92">
        <f t="shared" si="8"/>
        <v>10.000000000000014</v>
      </c>
      <c r="M118" s="93">
        <f t="shared" si="8"/>
        <v>10.000000000000014</v>
      </c>
      <c r="N118" s="65" t="s">
        <v>102</v>
      </c>
      <c r="O118" s="66"/>
      <c r="P118" s="66"/>
      <c r="Q118" s="66"/>
      <c r="R118" s="66"/>
      <c r="S118" s="66"/>
      <c r="V118" s="14"/>
      <c r="W118" s="14">
        <f t="shared" si="9"/>
        <v>1.1000000000000001</v>
      </c>
    </row>
    <row r="119" spans="1:23" ht="41.25" customHeight="1" x14ac:dyDescent="0.25">
      <c r="A119" s="289" t="s">
        <v>210</v>
      </c>
      <c r="B119" s="62" t="s">
        <v>115</v>
      </c>
      <c r="C119" s="89">
        <v>400</v>
      </c>
      <c r="D119" s="89">
        <v>280</v>
      </c>
      <c r="E119" s="89">
        <v>200</v>
      </c>
      <c r="F119" s="289" t="s">
        <v>210</v>
      </c>
      <c r="G119" s="62" t="s">
        <v>115</v>
      </c>
      <c r="H119" s="89">
        <v>800</v>
      </c>
      <c r="I119" s="89">
        <f>H119*70%</f>
        <v>560</v>
      </c>
      <c r="J119" s="89">
        <f>H119*50%</f>
        <v>400</v>
      </c>
      <c r="K119" s="76">
        <f t="shared" si="8"/>
        <v>100</v>
      </c>
      <c r="L119" s="92">
        <f t="shared" si="8"/>
        <v>100</v>
      </c>
      <c r="M119" s="93">
        <f t="shared" si="8"/>
        <v>100</v>
      </c>
      <c r="N119" s="65" t="s">
        <v>102</v>
      </c>
      <c r="O119" s="66"/>
      <c r="P119" s="66"/>
      <c r="Q119" s="66">
        <f>D119/C119*100</f>
        <v>70</v>
      </c>
      <c r="R119" s="66">
        <f>E119/C119*100</f>
        <v>50</v>
      </c>
      <c r="S119" s="66"/>
      <c r="V119" s="14"/>
      <c r="W119" s="14">
        <f t="shared" si="9"/>
        <v>2</v>
      </c>
    </row>
    <row r="120" spans="1:23" ht="41.25" customHeight="1" x14ac:dyDescent="0.25">
      <c r="A120" s="289"/>
      <c r="B120" s="62" t="s">
        <v>116</v>
      </c>
      <c r="C120" s="89">
        <v>280</v>
      </c>
      <c r="D120" s="89">
        <v>170</v>
      </c>
      <c r="E120" s="89">
        <v>140</v>
      </c>
      <c r="F120" s="289"/>
      <c r="G120" s="62" t="s">
        <v>116</v>
      </c>
      <c r="H120" s="89">
        <v>739</v>
      </c>
      <c r="I120" s="89">
        <f>H120*61%</f>
        <v>450.78999999999996</v>
      </c>
      <c r="J120" s="89">
        <f>H120*50%</f>
        <v>369.5</v>
      </c>
      <c r="K120" s="76">
        <f t="shared" si="8"/>
        <v>163.92857142857144</v>
      </c>
      <c r="L120" s="92">
        <f t="shared" si="8"/>
        <v>165.17058823529413</v>
      </c>
      <c r="M120" s="93">
        <f t="shared" si="8"/>
        <v>163.92857142857144</v>
      </c>
      <c r="N120" s="99" t="s">
        <v>196</v>
      </c>
      <c r="O120" s="66"/>
      <c r="P120" s="66"/>
      <c r="Q120" s="66">
        <f>D120/C120*100</f>
        <v>60.714285714285708</v>
      </c>
      <c r="R120" s="66">
        <f>E120/C120*100</f>
        <v>50</v>
      </c>
      <c r="S120" s="66"/>
      <c r="V120" s="14"/>
      <c r="W120" s="14">
        <f t="shared" si="9"/>
        <v>2.6392857142857142</v>
      </c>
    </row>
    <row r="121" spans="1:23" ht="41.25" customHeight="1" x14ac:dyDescent="0.25">
      <c r="A121" s="289"/>
      <c r="B121" s="62" t="s">
        <v>118</v>
      </c>
      <c r="C121" s="89">
        <v>220</v>
      </c>
      <c r="D121" s="89">
        <v>140</v>
      </c>
      <c r="E121" s="89">
        <v>100</v>
      </c>
      <c r="F121" s="289"/>
      <c r="G121" s="62" t="s">
        <v>118</v>
      </c>
      <c r="H121" s="89">
        <v>600</v>
      </c>
      <c r="I121" s="89">
        <f>H121*64%</f>
        <v>384</v>
      </c>
      <c r="J121" s="89">
        <f>H121*45%</f>
        <v>270</v>
      </c>
      <c r="K121" s="76">
        <f t="shared" si="8"/>
        <v>172.72727272727269</v>
      </c>
      <c r="L121" s="92">
        <f t="shared" si="8"/>
        <v>174.28571428571428</v>
      </c>
      <c r="M121" s="93">
        <f t="shared" si="8"/>
        <v>170</v>
      </c>
      <c r="N121" s="65" t="s">
        <v>102</v>
      </c>
      <c r="O121" s="66"/>
      <c r="P121" s="66"/>
      <c r="Q121" s="66">
        <f>D121/C121*100</f>
        <v>63.636363636363633</v>
      </c>
      <c r="R121" s="66">
        <f>E121/C121*100</f>
        <v>45.454545454545453</v>
      </c>
      <c r="S121" s="66"/>
      <c r="V121" s="14"/>
      <c r="W121" s="14">
        <f t="shared" si="9"/>
        <v>2.7272727272727271</v>
      </c>
    </row>
    <row r="122" spans="1:23" ht="16.5" x14ac:dyDescent="0.25">
      <c r="A122" s="65" t="s">
        <v>211</v>
      </c>
      <c r="B122" s="62" t="s">
        <v>53</v>
      </c>
      <c r="C122" s="89">
        <v>120</v>
      </c>
      <c r="D122" s="89">
        <v>100</v>
      </c>
      <c r="E122" s="89">
        <v>90</v>
      </c>
      <c r="F122" s="65" t="s">
        <v>211</v>
      </c>
      <c r="G122" s="62" t="s">
        <v>53</v>
      </c>
      <c r="H122" s="89">
        <f>C122*1.1</f>
        <v>132</v>
      </c>
      <c r="I122" s="89">
        <f>D122*1.1</f>
        <v>110.00000000000001</v>
      </c>
      <c r="J122" s="89">
        <f>E122*1.1</f>
        <v>99.000000000000014</v>
      </c>
      <c r="K122" s="76">
        <f t="shared" si="8"/>
        <v>10.000000000000014</v>
      </c>
      <c r="L122" s="92">
        <f t="shared" si="8"/>
        <v>10.000000000000014</v>
      </c>
      <c r="M122" s="93">
        <f t="shared" si="8"/>
        <v>10.000000000000014</v>
      </c>
      <c r="N122" s="65" t="s">
        <v>102</v>
      </c>
      <c r="O122" s="66"/>
      <c r="P122" s="66"/>
      <c r="Q122" s="66"/>
      <c r="R122" s="66"/>
      <c r="S122" s="66"/>
      <c r="V122" s="14"/>
      <c r="W122" s="14">
        <f t="shared" si="9"/>
        <v>1.1000000000000001</v>
      </c>
    </row>
    <row r="123" spans="1:23" ht="16.5" x14ac:dyDescent="0.25">
      <c r="A123" s="82">
        <v>8</v>
      </c>
      <c r="B123" s="69" t="s">
        <v>212</v>
      </c>
      <c r="C123" s="89"/>
      <c r="D123" s="89"/>
      <c r="E123" s="89"/>
      <c r="F123" s="82">
        <v>8</v>
      </c>
      <c r="G123" s="69" t="s">
        <v>212</v>
      </c>
      <c r="H123" s="89"/>
      <c r="I123" s="89"/>
      <c r="J123" s="89"/>
      <c r="K123" s="76"/>
      <c r="L123" s="92"/>
      <c r="M123" s="93"/>
      <c r="N123" s="65"/>
      <c r="O123" s="66"/>
      <c r="P123" s="66"/>
      <c r="Q123" s="66"/>
      <c r="R123" s="66"/>
      <c r="S123" s="66"/>
      <c r="V123" s="14"/>
      <c r="W123" s="14" t="e">
        <f t="shared" si="9"/>
        <v>#DIV/0!</v>
      </c>
    </row>
    <row r="124" spans="1:23" ht="49.5" x14ac:dyDescent="0.25">
      <c r="A124" s="65" t="s">
        <v>27</v>
      </c>
      <c r="B124" s="69" t="s">
        <v>1213</v>
      </c>
      <c r="C124" s="89">
        <v>700</v>
      </c>
      <c r="D124" s="89">
        <v>400</v>
      </c>
      <c r="E124" s="89">
        <v>260</v>
      </c>
      <c r="F124" s="65" t="s">
        <v>27</v>
      </c>
      <c r="G124" s="69" t="s">
        <v>1213</v>
      </c>
      <c r="H124" s="89">
        <f>C124*1.1</f>
        <v>770.00000000000011</v>
      </c>
      <c r="I124" s="89">
        <f>D124*1.1</f>
        <v>440.00000000000006</v>
      </c>
      <c r="J124" s="89">
        <f>E124*1.1</f>
        <v>286</v>
      </c>
      <c r="K124" s="76">
        <f t="shared" si="8"/>
        <v>10.000000000000014</v>
      </c>
      <c r="L124" s="92">
        <f t="shared" si="8"/>
        <v>10.000000000000014</v>
      </c>
      <c r="M124" s="93">
        <f t="shared" si="8"/>
        <v>10.000000000000014</v>
      </c>
      <c r="N124" s="65" t="s">
        <v>102</v>
      </c>
      <c r="O124" s="66"/>
      <c r="P124" s="66"/>
      <c r="Q124" s="66"/>
      <c r="R124" s="66"/>
      <c r="S124" s="66"/>
      <c r="V124" s="14"/>
      <c r="W124" s="14">
        <f t="shared" si="9"/>
        <v>1.1000000000000001</v>
      </c>
    </row>
    <row r="125" spans="1:23" s="18" customFormat="1" ht="54.75" customHeight="1" x14ac:dyDescent="0.25">
      <c r="A125" s="65" t="s">
        <v>31</v>
      </c>
      <c r="B125" s="69" t="s">
        <v>1214</v>
      </c>
      <c r="C125" s="89">
        <v>350</v>
      </c>
      <c r="D125" s="89">
        <v>240</v>
      </c>
      <c r="E125" s="89">
        <v>160</v>
      </c>
      <c r="F125" s="65" t="s">
        <v>31</v>
      </c>
      <c r="G125" s="69" t="s">
        <v>1214</v>
      </c>
      <c r="H125" s="89">
        <v>390</v>
      </c>
      <c r="I125" s="89">
        <f>D125*1.11</f>
        <v>266.40000000000003</v>
      </c>
      <c r="J125" s="89">
        <f>E125*1.11</f>
        <v>177.60000000000002</v>
      </c>
      <c r="K125" s="76">
        <f t="shared" si="8"/>
        <v>11.428571428571431</v>
      </c>
      <c r="L125" s="92">
        <f t="shared" si="8"/>
        <v>11.000000000000014</v>
      </c>
      <c r="M125" s="93">
        <f t="shared" si="8"/>
        <v>11.000000000000014</v>
      </c>
      <c r="N125" s="65" t="s">
        <v>102</v>
      </c>
      <c r="O125" s="66"/>
      <c r="P125" s="94">
        <f>H125/C125</f>
        <v>1.1142857142857143</v>
      </c>
      <c r="Q125" s="66"/>
      <c r="R125" s="66"/>
      <c r="S125" s="66"/>
      <c r="V125" s="19"/>
      <c r="W125" s="19">
        <f t="shared" si="9"/>
        <v>1.1142857142857143</v>
      </c>
    </row>
    <row r="126" spans="1:23" s="18" customFormat="1" ht="54.75" customHeight="1" x14ac:dyDescent="0.25">
      <c r="A126" s="65" t="s">
        <v>33</v>
      </c>
      <c r="B126" s="69" t="s">
        <v>1215</v>
      </c>
      <c r="C126" s="89">
        <v>350</v>
      </c>
      <c r="D126" s="89">
        <v>240</v>
      </c>
      <c r="E126" s="89">
        <v>160</v>
      </c>
      <c r="F126" s="65" t="s">
        <v>33</v>
      </c>
      <c r="G126" s="69" t="s">
        <v>1215</v>
      </c>
      <c r="H126" s="89">
        <v>390</v>
      </c>
      <c r="I126" s="89">
        <f>D126*1.11</f>
        <v>266.40000000000003</v>
      </c>
      <c r="J126" s="89">
        <f>E126*1.11</f>
        <v>177.60000000000002</v>
      </c>
      <c r="K126" s="76">
        <f t="shared" si="8"/>
        <v>11.428571428571431</v>
      </c>
      <c r="L126" s="92">
        <f t="shared" si="8"/>
        <v>11.000000000000014</v>
      </c>
      <c r="M126" s="93">
        <f t="shared" si="8"/>
        <v>11.000000000000014</v>
      </c>
      <c r="N126" s="65" t="s">
        <v>102</v>
      </c>
      <c r="O126" s="66"/>
      <c r="P126" s="94">
        <f>H126/C126</f>
        <v>1.1142857142857143</v>
      </c>
      <c r="Q126" s="66"/>
      <c r="R126" s="66"/>
      <c r="S126" s="66"/>
      <c r="V126" s="19"/>
      <c r="W126" s="19">
        <f t="shared" si="9"/>
        <v>1.1142857142857143</v>
      </c>
    </row>
    <row r="127" spans="1:23" ht="44.25" customHeight="1" x14ac:dyDescent="0.25">
      <c r="A127" s="289" t="s">
        <v>213</v>
      </c>
      <c r="B127" s="62" t="s">
        <v>115</v>
      </c>
      <c r="C127" s="89">
        <v>200</v>
      </c>
      <c r="D127" s="89">
        <v>140</v>
      </c>
      <c r="E127" s="89">
        <v>110</v>
      </c>
      <c r="F127" s="289" t="s">
        <v>213</v>
      </c>
      <c r="G127" s="62" t="s">
        <v>115</v>
      </c>
      <c r="H127" s="89">
        <f t="shared" ref="H127:J130" si="15">C127*1.1</f>
        <v>220.00000000000003</v>
      </c>
      <c r="I127" s="89">
        <f t="shared" si="15"/>
        <v>154</v>
      </c>
      <c r="J127" s="89">
        <f t="shared" si="15"/>
        <v>121.00000000000001</v>
      </c>
      <c r="K127" s="76">
        <f t="shared" si="8"/>
        <v>10.000000000000014</v>
      </c>
      <c r="L127" s="92">
        <f t="shared" si="8"/>
        <v>10.000000000000014</v>
      </c>
      <c r="M127" s="93">
        <f t="shared" si="8"/>
        <v>10.000000000000014</v>
      </c>
      <c r="N127" s="65" t="s">
        <v>102</v>
      </c>
      <c r="O127" s="66"/>
      <c r="P127" s="66"/>
      <c r="Q127" s="66"/>
      <c r="R127" s="66"/>
      <c r="S127" s="66"/>
      <c r="V127" s="14"/>
      <c r="W127" s="14">
        <f t="shared" si="9"/>
        <v>1.1000000000000001</v>
      </c>
    </row>
    <row r="128" spans="1:23" ht="44.25" customHeight="1" x14ac:dyDescent="0.25">
      <c r="A128" s="289"/>
      <c r="B128" s="62" t="s">
        <v>116</v>
      </c>
      <c r="C128" s="89">
        <v>185</v>
      </c>
      <c r="D128" s="89">
        <v>130</v>
      </c>
      <c r="E128" s="89">
        <v>100</v>
      </c>
      <c r="F128" s="289"/>
      <c r="G128" s="62" t="s">
        <v>116</v>
      </c>
      <c r="H128" s="89">
        <f t="shared" si="15"/>
        <v>203.50000000000003</v>
      </c>
      <c r="I128" s="89">
        <f t="shared" si="15"/>
        <v>143</v>
      </c>
      <c r="J128" s="89">
        <f t="shared" si="15"/>
        <v>110.00000000000001</v>
      </c>
      <c r="K128" s="76">
        <f t="shared" si="8"/>
        <v>10.000000000000014</v>
      </c>
      <c r="L128" s="92">
        <f t="shared" si="8"/>
        <v>10.000000000000014</v>
      </c>
      <c r="M128" s="93">
        <f t="shared" si="8"/>
        <v>10.000000000000014</v>
      </c>
      <c r="N128" s="65" t="s">
        <v>102</v>
      </c>
      <c r="O128" s="66"/>
      <c r="P128" s="66"/>
      <c r="Q128" s="66"/>
      <c r="R128" s="66"/>
      <c r="S128" s="66"/>
      <c r="V128" s="14"/>
      <c r="W128" s="14">
        <f t="shared" si="9"/>
        <v>1.1000000000000001</v>
      </c>
    </row>
    <row r="129" spans="1:23" ht="44.25" customHeight="1" x14ac:dyDescent="0.25">
      <c r="A129" s="289"/>
      <c r="B129" s="62" t="s">
        <v>214</v>
      </c>
      <c r="C129" s="89">
        <v>170</v>
      </c>
      <c r="D129" s="89">
        <v>130</v>
      </c>
      <c r="E129" s="89">
        <v>100</v>
      </c>
      <c r="F129" s="289"/>
      <c r="G129" s="62" t="s">
        <v>214</v>
      </c>
      <c r="H129" s="89">
        <f t="shared" si="15"/>
        <v>187.00000000000003</v>
      </c>
      <c r="I129" s="89">
        <f t="shared" si="15"/>
        <v>143</v>
      </c>
      <c r="J129" s="89">
        <f t="shared" si="15"/>
        <v>110.00000000000001</v>
      </c>
      <c r="K129" s="76">
        <f t="shared" ref="K129:M190" si="16">(H129/C129)*100-100</f>
        <v>10.000000000000014</v>
      </c>
      <c r="L129" s="92">
        <f t="shared" si="16"/>
        <v>10.000000000000014</v>
      </c>
      <c r="M129" s="93">
        <f t="shared" si="16"/>
        <v>10.000000000000014</v>
      </c>
      <c r="N129" s="65" t="s">
        <v>102</v>
      </c>
      <c r="O129" s="66"/>
      <c r="P129" s="66"/>
      <c r="Q129" s="66"/>
      <c r="R129" s="66"/>
      <c r="S129" s="66"/>
      <c r="V129" s="14"/>
      <c r="W129" s="14">
        <f t="shared" si="9"/>
        <v>1.1000000000000001</v>
      </c>
    </row>
    <row r="130" spans="1:23" ht="16.5" x14ac:dyDescent="0.25">
      <c r="A130" s="65" t="s">
        <v>215</v>
      </c>
      <c r="B130" s="62" t="s">
        <v>53</v>
      </c>
      <c r="C130" s="89">
        <v>120</v>
      </c>
      <c r="D130" s="89">
        <v>100</v>
      </c>
      <c r="E130" s="89">
        <v>90</v>
      </c>
      <c r="F130" s="65" t="s">
        <v>215</v>
      </c>
      <c r="G130" s="62" t="s">
        <v>53</v>
      </c>
      <c r="H130" s="89">
        <f t="shared" si="15"/>
        <v>132</v>
      </c>
      <c r="I130" s="89">
        <f t="shared" si="15"/>
        <v>110.00000000000001</v>
      </c>
      <c r="J130" s="89">
        <f t="shared" si="15"/>
        <v>99.000000000000014</v>
      </c>
      <c r="K130" s="76">
        <f t="shared" si="16"/>
        <v>10.000000000000014</v>
      </c>
      <c r="L130" s="92">
        <f t="shared" si="16"/>
        <v>10.000000000000014</v>
      </c>
      <c r="M130" s="93">
        <f t="shared" si="16"/>
        <v>10.000000000000014</v>
      </c>
      <c r="N130" s="65" t="s">
        <v>102</v>
      </c>
      <c r="O130" s="66"/>
      <c r="P130" s="66"/>
      <c r="Q130" s="66"/>
      <c r="R130" s="66"/>
      <c r="S130" s="66"/>
      <c r="V130" s="14"/>
      <c r="W130" s="14">
        <f t="shared" si="9"/>
        <v>1.1000000000000001</v>
      </c>
    </row>
    <row r="131" spans="1:23" ht="16.5" x14ac:dyDescent="0.25">
      <c r="A131" s="82">
        <v>9</v>
      </c>
      <c r="B131" s="69" t="s">
        <v>216</v>
      </c>
      <c r="C131" s="89"/>
      <c r="D131" s="89"/>
      <c r="E131" s="89"/>
      <c r="F131" s="82">
        <v>9</v>
      </c>
      <c r="G131" s="69" t="s">
        <v>216</v>
      </c>
      <c r="H131" s="89"/>
      <c r="I131" s="89"/>
      <c r="J131" s="89"/>
      <c r="K131" s="76"/>
      <c r="L131" s="92"/>
      <c r="M131" s="93"/>
      <c r="N131" s="65"/>
      <c r="O131" s="66"/>
      <c r="P131" s="66"/>
      <c r="Q131" s="66"/>
      <c r="R131" s="66"/>
      <c r="S131" s="66"/>
      <c r="V131" s="14"/>
      <c r="W131" s="14" t="e">
        <f t="shared" si="9"/>
        <v>#DIV/0!</v>
      </c>
    </row>
    <row r="132" spans="1:23" ht="50.25" customHeight="1" x14ac:dyDescent="0.25">
      <c r="A132" s="65" t="s">
        <v>217</v>
      </c>
      <c r="B132" s="69" t="s">
        <v>1216</v>
      </c>
      <c r="C132" s="89">
        <v>3800</v>
      </c>
      <c r="D132" s="89">
        <v>2200</v>
      </c>
      <c r="E132" s="89">
        <v>1000</v>
      </c>
      <c r="F132" s="65" t="s">
        <v>217</v>
      </c>
      <c r="G132" s="62" t="s">
        <v>1217</v>
      </c>
      <c r="H132" s="89">
        <v>3510</v>
      </c>
      <c r="I132" s="89">
        <f>58%*H132</f>
        <v>2035.8</v>
      </c>
      <c r="J132" s="89">
        <f>26%*H132</f>
        <v>912.6</v>
      </c>
      <c r="K132" s="76">
        <f t="shared" si="16"/>
        <v>-7.6315789473684248</v>
      </c>
      <c r="L132" s="92">
        <f t="shared" si="16"/>
        <v>-7.4636363636363683</v>
      </c>
      <c r="M132" s="93">
        <f t="shared" si="16"/>
        <v>-8.7399999999999949</v>
      </c>
      <c r="N132" s="65" t="s">
        <v>1023</v>
      </c>
      <c r="O132" s="66"/>
      <c r="P132" s="108"/>
      <c r="Q132" s="108">
        <f>E132/C132*100</f>
        <v>26.315789473684209</v>
      </c>
      <c r="R132" s="66"/>
      <c r="S132" s="66"/>
      <c r="V132" s="14"/>
      <c r="W132" s="14">
        <f t="shared" si="9"/>
        <v>0.92368421052631577</v>
      </c>
    </row>
    <row r="133" spans="1:23" ht="66" x14ac:dyDescent="0.25">
      <c r="A133" s="65" t="s">
        <v>218</v>
      </c>
      <c r="B133" s="69" t="s">
        <v>1218</v>
      </c>
      <c r="C133" s="89">
        <v>2700</v>
      </c>
      <c r="D133" s="89">
        <v>1500</v>
      </c>
      <c r="E133" s="89">
        <v>800</v>
      </c>
      <c r="F133" s="65" t="s">
        <v>218</v>
      </c>
      <c r="G133" s="69" t="s">
        <v>1219</v>
      </c>
      <c r="H133" s="89">
        <f t="shared" ref="H133:J133" si="17">C133*1.1</f>
        <v>2970.0000000000005</v>
      </c>
      <c r="I133" s="89">
        <f t="shared" si="17"/>
        <v>1650.0000000000002</v>
      </c>
      <c r="J133" s="89">
        <f t="shared" si="17"/>
        <v>880.00000000000011</v>
      </c>
      <c r="K133" s="76">
        <f t="shared" si="16"/>
        <v>10.000000000000014</v>
      </c>
      <c r="L133" s="92">
        <f t="shared" si="16"/>
        <v>10.000000000000014</v>
      </c>
      <c r="M133" s="93">
        <f t="shared" si="16"/>
        <v>10.000000000000014</v>
      </c>
      <c r="N133" s="65" t="s">
        <v>102</v>
      </c>
      <c r="O133" s="66"/>
      <c r="P133" s="66"/>
      <c r="Q133" s="66">
        <f>E133/C133</f>
        <v>0.29629629629629628</v>
      </c>
      <c r="R133" s="66"/>
      <c r="S133" s="66"/>
      <c r="V133" s="14"/>
      <c r="W133" s="14">
        <f t="shared" si="9"/>
        <v>1.1000000000000001</v>
      </c>
    </row>
    <row r="134" spans="1:23" ht="50.25" customHeight="1" x14ac:dyDescent="0.25">
      <c r="A134" s="65" t="s">
        <v>219</v>
      </c>
      <c r="B134" s="69" t="s">
        <v>1220</v>
      </c>
      <c r="C134" s="89">
        <v>1200</v>
      </c>
      <c r="D134" s="89">
        <v>700</v>
      </c>
      <c r="E134" s="89">
        <v>380</v>
      </c>
      <c r="F134" s="65" t="s">
        <v>219</v>
      </c>
      <c r="G134" s="69" t="s">
        <v>1221</v>
      </c>
      <c r="H134" s="89">
        <v>2150</v>
      </c>
      <c r="I134" s="89">
        <f>H134*58%</f>
        <v>1247</v>
      </c>
      <c r="J134" s="89">
        <f>H134*32%</f>
        <v>688</v>
      </c>
      <c r="K134" s="76">
        <f t="shared" si="16"/>
        <v>79.166666666666686</v>
      </c>
      <c r="L134" s="92">
        <f t="shared" si="16"/>
        <v>78.142857142857139</v>
      </c>
      <c r="M134" s="93">
        <f t="shared" si="16"/>
        <v>81.05263157894737</v>
      </c>
      <c r="N134" s="65" t="s">
        <v>1021</v>
      </c>
      <c r="O134" s="66" t="s">
        <v>220</v>
      </c>
      <c r="P134" s="66"/>
      <c r="Q134" s="66">
        <f>E134/C134*100</f>
        <v>31.666666666666664</v>
      </c>
      <c r="R134" s="66"/>
      <c r="S134" s="66"/>
      <c r="V134" s="14"/>
      <c r="W134" s="14">
        <f t="shared" ref="W134:W198" si="18">H134/C134</f>
        <v>1.7916666666666667</v>
      </c>
    </row>
    <row r="135" spans="1:23" s="18" customFormat="1" ht="66" x14ac:dyDescent="0.25">
      <c r="A135" s="65" t="s">
        <v>221</v>
      </c>
      <c r="B135" s="69" t="s">
        <v>1222</v>
      </c>
      <c r="C135" s="89">
        <v>280</v>
      </c>
      <c r="D135" s="89">
        <v>185</v>
      </c>
      <c r="E135" s="89">
        <v>150</v>
      </c>
      <c r="F135" s="65" t="s">
        <v>221</v>
      </c>
      <c r="G135" s="69" t="s">
        <v>1223</v>
      </c>
      <c r="H135" s="89">
        <v>310</v>
      </c>
      <c r="I135" s="89">
        <f>D135*1.11</f>
        <v>205.35000000000002</v>
      </c>
      <c r="J135" s="89">
        <f>E135*1.11</f>
        <v>166.50000000000003</v>
      </c>
      <c r="K135" s="76">
        <f t="shared" si="16"/>
        <v>10.714285714285722</v>
      </c>
      <c r="L135" s="92">
        <f t="shared" si="16"/>
        <v>11.000000000000014</v>
      </c>
      <c r="M135" s="93">
        <f t="shared" si="16"/>
        <v>11.000000000000014</v>
      </c>
      <c r="N135" s="65" t="s">
        <v>102</v>
      </c>
      <c r="O135" s="66"/>
      <c r="P135" s="94">
        <f>H135/C135</f>
        <v>1.1071428571428572</v>
      </c>
      <c r="Q135" s="66">
        <f>E135/C135</f>
        <v>0.5357142857142857</v>
      </c>
      <c r="R135" s="66"/>
      <c r="S135" s="66"/>
      <c r="V135" s="19"/>
      <c r="W135" s="19">
        <f t="shared" si="18"/>
        <v>1.1071428571428572</v>
      </c>
    </row>
    <row r="136" spans="1:23" ht="49.5" customHeight="1" x14ac:dyDescent="0.25">
      <c r="A136" s="65" t="s">
        <v>222</v>
      </c>
      <c r="B136" s="62" t="s">
        <v>223</v>
      </c>
      <c r="C136" s="89">
        <v>350</v>
      </c>
      <c r="D136" s="89">
        <v>250</v>
      </c>
      <c r="E136" s="89">
        <v>180</v>
      </c>
      <c r="F136" s="65" t="s">
        <v>222</v>
      </c>
      <c r="G136" s="62" t="s">
        <v>223</v>
      </c>
      <c r="H136" s="89">
        <v>1280</v>
      </c>
      <c r="I136" s="89">
        <f>H136*71%</f>
        <v>908.8</v>
      </c>
      <c r="J136" s="89">
        <f>H136*51%</f>
        <v>652.79999999999995</v>
      </c>
      <c r="K136" s="76">
        <f t="shared" si="16"/>
        <v>265.71428571428572</v>
      </c>
      <c r="L136" s="92">
        <f t="shared" si="16"/>
        <v>263.52</v>
      </c>
      <c r="M136" s="93">
        <f t="shared" si="16"/>
        <v>262.66666666666663</v>
      </c>
      <c r="N136" s="65" t="s">
        <v>1020</v>
      </c>
      <c r="O136" s="66" t="s">
        <v>224</v>
      </c>
      <c r="P136" s="66"/>
      <c r="Q136" s="66">
        <f>E136/C136*100</f>
        <v>51.428571428571423</v>
      </c>
      <c r="R136" s="66"/>
      <c r="S136" s="66"/>
      <c r="V136" s="14"/>
      <c r="W136" s="14">
        <f t="shared" si="18"/>
        <v>3.657142857142857</v>
      </c>
    </row>
    <row r="137" spans="1:23" ht="40.5" customHeight="1" x14ac:dyDescent="0.25">
      <c r="A137" s="65" t="s">
        <v>225</v>
      </c>
      <c r="B137" s="62" t="s">
        <v>226</v>
      </c>
      <c r="C137" s="89">
        <v>520</v>
      </c>
      <c r="D137" s="89">
        <v>300</v>
      </c>
      <c r="E137" s="89">
        <v>220</v>
      </c>
      <c r="F137" s="65" t="s">
        <v>225</v>
      </c>
      <c r="G137" s="62" t="s">
        <v>226</v>
      </c>
      <c r="H137" s="89">
        <v>1550</v>
      </c>
      <c r="I137" s="89">
        <f>H137*58%</f>
        <v>898.99999999999989</v>
      </c>
      <c r="J137" s="89">
        <f>H137*42%</f>
        <v>651</v>
      </c>
      <c r="K137" s="76">
        <f t="shared" si="16"/>
        <v>198.07692307692309</v>
      </c>
      <c r="L137" s="92">
        <f t="shared" si="16"/>
        <v>199.66666666666663</v>
      </c>
      <c r="M137" s="93">
        <f t="shared" si="16"/>
        <v>195.90909090909088</v>
      </c>
      <c r="N137" s="65" t="s">
        <v>1021</v>
      </c>
      <c r="O137" s="66" t="s">
        <v>227</v>
      </c>
      <c r="P137" s="66"/>
      <c r="Q137" s="66">
        <f>E137/C137*100</f>
        <v>42.307692307692307</v>
      </c>
      <c r="R137" s="66"/>
      <c r="S137" s="66"/>
      <c r="V137" s="14"/>
      <c r="W137" s="14">
        <f t="shared" si="18"/>
        <v>2.9807692307692308</v>
      </c>
    </row>
    <row r="138" spans="1:23" ht="55.5" customHeight="1" x14ac:dyDescent="0.25">
      <c r="A138" s="65" t="s">
        <v>228</v>
      </c>
      <c r="B138" s="62" t="s">
        <v>229</v>
      </c>
      <c r="C138" s="89">
        <v>1300</v>
      </c>
      <c r="D138" s="89">
        <v>700</v>
      </c>
      <c r="E138" s="89">
        <v>380</v>
      </c>
      <c r="F138" s="65" t="s">
        <v>228</v>
      </c>
      <c r="G138" s="62" t="s">
        <v>230</v>
      </c>
      <c r="H138" s="89">
        <v>2300</v>
      </c>
      <c r="I138" s="89">
        <f>H138*54%</f>
        <v>1242</v>
      </c>
      <c r="J138" s="89">
        <f>29%*H138</f>
        <v>667</v>
      </c>
      <c r="K138" s="76">
        <f t="shared" si="16"/>
        <v>76.923076923076906</v>
      </c>
      <c r="L138" s="92">
        <f t="shared" si="16"/>
        <v>77.428571428571416</v>
      </c>
      <c r="M138" s="93">
        <f t="shared" si="16"/>
        <v>75.526315789473699</v>
      </c>
      <c r="N138" s="65" t="s">
        <v>1024</v>
      </c>
      <c r="O138" s="66" t="s">
        <v>231</v>
      </c>
      <c r="P138" s="108"/>
      <c r="Q138" s="108">
        <f>E138/C138*100</f>
        <v>29.230769230769234</v>
      </c>
      <c r="R138" s="66"/>
      <c r="S138" s="66"/>
      <c r="V138" s="14"/>
      <c r="W138" s="14">
        <f t="shared" si="18"/>
        <v>1.7692307692307692</v>
      </c>
    </row>
    <row r="139" spans="1:23" ht="56.25" customHeight="1" x14ac:dyDescent="0.25">
      <c r="A139" s="65"/>
      <c r="B139" s="62"/>
      <c r="C139" s="89"/>
      <c r="D139" s="89"/>
      <c r="E139" s="89"/>
      <c r="F139" s="65" t="s">
        <v>232</v>
      </c>
      <c r="G139" s="62" t="s">
        <v>1025</v>
      </c>
      <c r="H139" s="89">
        <v>1680</v>
      </c>
      <c r="I139" s="89">
        <f>H139*54%</f>
        <v>907.2</v>
      </c>
      <c r="J139" s="89">
        <f>29%*H139</f>
        <v>487.2</v>
      </c>
      <c r="K139" s="76"/>
      <c r="L139" s="92"/>
      <c r="M139" s="93"/>
      <c r="N139" s="65" t="s">
        <v>1026</v>
      </c>
      <c r="O139" s="66" t="s">
        <v>233</v>
      </c>
      <c r="P139" s="66"/>
      <c r="Q139" s="66"/>
      <c r="R139" s="66"/>
      <c r="S139" s="66"/>
      <c r="V139" s="14"/>
      <c r="W139" s="14" t="e">
        <f t="shared" si="18"/>
        <v>#DIV/0!</v>
      </c>
    </row>
    <row r="140" spans="1:23" ht="42.75" customHeight="1" x14ac:dyDescent="0.25">
      <c r="A140" s="65" t="s">
        <v>234</v>
      </c>
      <c r="B140" s="62" t="s">
        <v>235</v>
      </c>
      <c r="C140" s="89">
        <v>900</v>
      </c>
      <c r="D140" s="89">
        <v>650</v>
      </c>
      <c r="E140" s="89">
        <v>450</v>
      </c>
      <c r="F140" s="65" t="s">
        <v>234</v>
      </c>
      <c r="G140" s="62" t="s">
        <v>235</v>
      </c>
      <c r="H140" s="89">
        <f>C140*1.1</f>
        <v>990.00000000000011</v>
      </c>
      <c r="I140" s="89">
        <f>D140*1.1</f>
        <v>715.00000000000011</v>
      </c>
      <c r="J140" s="89">
        <f>E140*1.1</f>
        <v>495.00000000000006</v>
      </c>
      <c r="K140" s="76">
        <f t="shared" si="16"/>
        <v>10.000000000000014</v>
      </c>
      <c r="L140" s="92">
        <f t="shared" si="16"/>
        <v>10.000000000000014</v>
      </c>
      <c r="M140" s="93">
        <f t="shared" si="16"/>
        <v>10.000000000000014</v>
      </c>
      <c r="N140" s="65" t="s">
        <v>102</v>
      </c>
      <c r="O140" s="66"/>
      <c r="P140" s="66"/>
      <c r="Q140" s="66"/>
      <c r="R140" s="66"/>
      <c r="S140" s="66"/>
      <c r="V140" s="14"/>
      <c r="W140" s="14">
        <f t="shared" si="18"/>
        <v>1.1000000000000001</v>
      </c>
    </row>
    <row r="141" spans="1:23" ht="115.5" customHeight="1" x14ac:dyDescent="0.25">
      <c r="A141" s="65"/>
      <c r="B141" s="62"/>
      <c r="C141" s="89"/>
      <c r="D141" s="89"/>
      <c r="E141" s="89"/>
      <c r="F141" s="65" t="s">
        <v>236</v>
      </c>
      <c r="G141" s="62" t="s">
        <v>237</v>
      </c>
      <c r="H141" s="89">
        <v>3080</v>
      </c>
      <c r="I141" s="89">
        <f>58%*H141</f>
        <v>1786.3999999999999</v>
      </c>
      <c r="J141" s="89">
        <f>26%*H141</f>
        <v>800.80000000000007</v>
      </c>
      <c r="K141" s="76"/>
      <c r="L141" s="92"/>
      <c r="M141" s="93"/>
      <c r="N141" s="65" t="s">
        <v>1027</v>
      </c>
      <c r="O141" s="66" t="s">
        <v>238</v>
      </c>
      <c r="P141" s="66"/>
      <c r="Q141" s="66"/>
      <c r="R141" s="66"/>
      <c r="S141" s="66"/>
      <c r="V141" s="14"/>
      <c r="W141" s="14" t="e">
        <f t="shared" si="18"/>
        <v>#DIV/0!</v>
      </c>
    </row>
    <row r="142" spans="1:23" ht="89.25" customHeight="1" x14ac:dyDescent="0.25">
      <c r="A142" s="65"/>
      <c r="B142" s="62"/>
      <c r="C142" s="89"/>
      <c r="D142" s="89"/>
      <c r="E142" s="89"/>
      <c r="F142" s="65" t="s">
        <v>239</v>
      </c>
      <c r="G142" s="62" t="s">
        <v>240</v>
      </c>
      <c r="H142" s="89">
        <v>1000</v>
      </c>
      <c r="I142" s="89">
        <f>H142*71%</f>
        <v>710</v>
      </c>
      <c r="J142" s="89">
        <f>H142*58%</f>
        <v>580</v>
      </c>
      <c r="K142" s="76"/>
      <c r="L142" s="92"/>
      <c r="M142" s="93"/>
      <c r="N142" s="65" t="s">
        <v>112</v>
      </c>
      <c r="O142" s="66"/>
      <c r="P142" s="66"/>
      <c r="Q142" s="66"/>
      <c r="R142" s="66"/>
      <c r="S142" s="66"/>
      <c r="V142" s="14"/>
      <c r="W142" s="14" t="e">
        <f t="shared" si="18"/>
        <v>#DIV/0!</v>
      </c>
    </row>
    <row r="143" spans="1:23" ht="38.25" customHeight="1" x14ac:dyDescent="0.25">
      <c r="A143" s="289" t="s">
        <v>241</v>
      </c>
      <c r="B143" s="62" t="s">
        <v>115</v>
      </c>
      <c r="C143" s="89">
        <v>280</v>
      </c>
      <c r="D143" s="89">
        <v>180</v>
      </c>
      <c r="E143" s="89">
        <v>140</v>
      </c>
      <c r="F143" s="289" t="s">
        <v>241</v>
      </c>
      <c r="G143" s="62" t="s">
        <v>115</v>
      </c>
      <c r="H143" s="89">
        <v>550</v>
      </c>
      <c r="I143" s="89">
        <f>H143*64%</f>
        <v>352</v>
      </c>
      <c r="J143" s="89">
        <f>H143*50%</f>
        <v>275</v>
      </c>
      <c r="K143" s="76">
        <f t="shared" si="16"/>
        <v>96.428571428571416</v>
      </c>
      <c r="L143" s="92">
        <f t="shared" si="16"/>
        <v>95.555555555555543</v>
      </c>
      <c r="M143" s="93">
        <f t="shared" si="16"/>
        <v>96.428571428571416</v>
      </c>
      <c r="N143" s="65" t="s">
        <v>112</v>
      </c>
      <c r="O143" s="66"/>
      <c r="P143" s="66"/>
      <c r="Q143" s="66">
        <f>D143/C143*100</f>
        <v>64.285714285714292</v>
      </c>
      <c r="R143" s="66">
        <f>E143/C143*100</f>
        <v>50</v>
      </c>
      <c r="S143" s="66"/>
      <c r="V143" s="14"/>
      <c r="W143" s="14">
        <f t="shared" si="18"/>
        <v>1.9642857142857142</v>
      </c>
    </row>
    <row r="144" spans="1:23" ht="38.25" customHeight="1" x14ac:dyDescent="0.25">
      <c r="A144" s="289"/>
      <c r="B144" s="62" t="s">
        <v>116</v>
      </c>
      <c r="C144" s="89">
        <v>220</v>
      </c>
      <c r="D144" s="89">
        <v>150</v>
      </c>
      <c r="E144" s="89">
        <v>120</v>
      </c>
      <c r="F144" s="289"/>
      <c r="G144" s="62" t="s">
        <v>116</v>
      </c>
      <c r="H144" s="89">
        <v>482</v>
      </c>
      <c r="I144" s="89">
        <f>H144*68%</f>
        <v>327.76000000000005</v>
      </c>
      <c r="J144" s="89">
        <f>H144*54%</f>
        <v>260.28000000000003</v>
      </c>
      <c r="K144" s="76">
        <f t="shared" si="16"/>
        <v>119.09090909090909</v>
      </c>
      <c r="L144" s="92">
        <f t="shared" si="16"/>
        <v>118.50666666666672</v>
      </c>
      <c r="M144" s="93">
        <f t="shared" si="16"/>
        <v>116.9</v>
      </c>
      <c r="N144" s="99" t="s">
        <v>242</v>
      </c>
      <c r="O144" s="66"/>
      <c r="P144" s="66"/>
      <c r="Q144" s="66">
        <f>D144/C144*100</f>
        <v>68.181818181818173</v>
      </c>
      <c r="R144" s="66">
        <f>E144/C144*100</f>
        <v>54.54545454545454</v>
      </c>
      <c r="S144" s="66"/>
      <c r="V144" s="14"/>
      <c r="W144" s="14">
        <f t="shared" si="18"/>
        <v>2.1909090909090909</v>
      </c>
    </row>
    <row r="145" spans="1:23" ht="38.25" customHeight="1" x14ac:dyDescent="0.25">
      <c r="A145" s="289"/>
      <c r="B145" s="62" t="s">
        <v>118</v>
      </c>
      <c r="C145" s="89">
        <v>200</v>
      </c>
      <c r="D145" s="89">
        <v>130</v>
      </c>
      <c r="E145" s="89">
        <v>100</v>
      </c>
      <c r="F145" s="289"/>
      <c r="G145" s="62" t="s">
        <v>118</v>
      </c>
      <c r="H145" s="89">
        <v>400</v>
      </c>
      <c r="I145" s="89">
        <f>H145*65%</f>
        <v>260</v>
      </c>
      <c r="J145" s="89">
        <f>H145*50%</f>
        <v>200</v>
      </c>
      <c r="K145" s="76">
        <f t="shared" si="16"/>
        <v>100</v>
      </c>
      <c r="L145" s="92">
        <f t="shared" si="16"/>
        <v>100</v>
      </c>
      <c r="M145" s="93">
        <f t="shared" si="16"/>
        <v>100</v>
      </c>
      <c r="N145" s="65" t="s">
        <v>112</v>
      </c>
      <c r="O145" s="66"/>
      <c r="P145" s="66"/>
      <c r="Q145" s="66">
        <f>D145/C145*100</f>
        <v>65</v>
      </c>
      <c r="R145" s="66">
        <f>E145/C145*100</f>
        <v>50</v>
      </c>
      <c r="S145" s="66"/>
      <c r="V145" s="14"/>
      <c r="W145" s="14">
        <f t="shared" si="18"/>
        <v>2</v>
      </c>
    </row>
    <row r="146" spans="1:23" ht="32.25" customHeight="1" x14ac:dyDescent="0.25">
      <c r="A146" s="65" t="s">
        <v>243</v>
      </c>
      <c r="B146" s="62" t="s">
        <v>53</v>
      </c>
      <c r="C146" s="89">
        <v>120</v>
      </c>
      <c r="D146" s="89">
        <v>100</v>
      </c>
      <c r="E146" s="89">
        <v>90</v>
      </c>
      <c r="F146" s="65" t="s">
        <v>243</v>
      </c>
      <c r="G146" s="62" t="s">
        <v>53</v>
      </c>
      <c r="H146" s="89">
        <f>C146*1.1</f>
        <v>132</v>
      </c>
      <c r="I146" s="89">
        <f>D146*1.1</f>
        <v>110.00000000000001</v>
      </c>
      <c r="J146" s="89">
        <f>E146*1.1</f>
        <v>99.000000000000014</v>
      </c>
      <c r="K146" s="76">
        <f t="shared" si="16"/>
        <v>10.000000000000014</v>
      </c>
      <c r="L146" s="92">
        <f t="shared" si="16"/>
        <v>10.000000000000014</v>
      </c>
      <c r="M146" s="93">
        <f t="shared" si="16"/>
        <v>10.000000000000014</v>
      </c>
      <c r="N146" s="65" t="s">
        <v>992</v>
      </c>
      <c r="O146" s="66"/>
      <c r="P146" s="66"/>
      <c r="Q146" s="66"/>
      <c r="R146" s="66"/>
      <c r="S146" s="66"/>
      <c r="V146" s="14"/>
      <c r="W146" s="14">
        <f t="shared" si="18"/>
        <v>1.1000000000000001</v>
      </c>
    </row>
    <row r="147" spans="1:23" ht="16.5" x14ac:dyDescent="0.25">
      <c r="A147" s="82">
        <v>10</v>
      </c>
      <c r="B147" s="69" t="s">
        <v>244</v>
      </c>
      <c r="C147" s="89"/>
      <c r="D147" s="89"/>
      <c r="E147" s="89"/>
      <c r="F147" s="82">
        <v>10</v>
      </c>
      <c r="G147" s="69" t="s">
        <v>244</v>
      </c>
      <c r="H147" s="89"/>
      <c r="I147" s="89"/>
      <c r="J147" s="89"/>
      <c r="K147" s="76"/>
      <c r="L147" s="92"/>
      <c r="M147" s="93"/>
      <c r="N147" s="65"/>
      <c r="O147" s="66"/>
      <c r="P147" s="66"/>
      <c r="Q147" s="66"/>
      <c r="R147" s="66"/>
      <c r="S147" s="66"/>
      <c r="V147" s="14"/>
      <c r="W147" s="14" t="e">
        <f t="shared" si="18"/>
        <v>#DIV/0!</v>
      </c>
    </row>
    <row r="148" spans="1:23" ht="51" customHeight="1" x14ac:dyDescent="0.25">
      <c r="A148" s="65" t="s">
        <v>245</v>
      </c>
      <c r="B148" s="69" t="s">
        <v>1224</v>
      </c>
      <c r="C148" s="89">
        <v>2500</v>
      </c>
      <c r="D148" s="89">
        <v>1450</v>
      </c>
      <c r="E148" s="89">
        <v>600</v>
      </c>
      <c r="F148" s="65" t="s">
        <v>245</v>
      </c>
      <c r="G148" s="69" t="s">
        <v>1225</v>
      </c>
      <c r="H148" s="89">
        <v>3800</v>
      </c>
      <c r="I148" s="89">
        <f>D148*1.52</f>
        <v>2204</v>
      </c>
      <c r="J148" s="89">
        <f>E148*1.52</f>
        <v>912</v>
      </c>
      <c r="K148" s="76">
        <f t="shared" si="16"/>
        <v>52</v>
      </c>
      <c r="L148" s="92">
        <f t="shared" si="16"/>
        <v>52</v>
      </c>
      <c r="M148" s="93">
        <f t="shared" si="16"/>
        <v>52</v>
      </c>
      <c r="N148" s="65" t="s">
        <v>1028</v>
      </c>
      <c r="O148" s="66" t="s">
        <v>246</v>
      </c>
      <c r="P148" s="66"/>
      <c r="Q148" s="66">
        <f>H148/C148</f>
        <v>1.52</v>
      </c>
      <c r="R148" s="66"/>
      <c r="S148" s="66"/>
      <c r="V148" s="14"/>
      <c r="W148" s="14">
        <f t="shared" si="18"/>
        <v>1.52</v>
      </c>
    </row>
    <row r="149" spans="1:23" ht="74.25" customHeight="1" x14ac:dyDescent="0.25">
      <c r="A149" s="65" t="s">
        <v>247</v>
      </c>
      <c r="B149" s="69" t="s">
        <v>1226</v>
      </c>
      <c r="C149" s="89">
        <v>3000</v>
      </c>
      <c r="D149" s="89">
        <v>1800</v>
      </c>
      <c r="E149" s="89">
        <v>1000</v>
      </c>
      <c r="F149" s="65" t="s">
        <v>247</v>
      </c>
      <c r="G149" s="69" t="s">
        <v>1227</v>
      </c>
      <c r="H149" s="89">
        <v>3800</v>
      </c>
      <c r="I149" s="89">
        <f>D149*1.27</f>
        <v>2286</v>
      </c>
      <c r="J149" s="89">
        <f>E149*1.27</f>
        <v>1270</v>
      </c>
      <c r="K149" s="76">
        <f t="shared" si="16"/>
        <v>26.666666666666657</v>
      </c>
      <c r="L149" s="92">
        <f t="shared" si="16"/>
        <v>27</v>
      </c>
      <c r="M149" s="93">
        <f t="shared" si="16"/>
        <v>27</v>
      </c>
      <c r="N149" s="65" t="s">
        <v>992</v>
      </c>
      <c r="O149" s="66"/>
      <c r="P149" s="66"/>
      <c r="Q149" s="94">
        <f>H149/C149</f>
        <v>1.2666666666666666</v>
      </c>
      <c r="R149" s="66"/>
      <c r="S149" s="66"/>
      <c r="V149" s="14"/>
      <c r="W149" s="14">
        <f t="shared" si="18"/>
        <v>1.2666666666666666</v>
      </c>
    </row>
    <row r="150" spans="1:23" ht="61.5" customHeight="1" x14ac:dyDescent="0.25">
      <c r="A150" s="65"/>
      <c r="B150" s="69"/>
      <c r="C150" s="89"/>
      <c r="D150" s="89"/>
      <c r="E150" s="89"/>
      <c r="F150" s="65" t="s">
        <v>1005</v>
      </c>
      <c r="G150" s="69" t="s">
        <v>1228</v>
      </c>
      <c r="H150" s="89">
        <v>4620</v>
      </c>
      <c r="I150" s="89">
        <f>D149*1.54</f>
        <v>2772</v>
      </c>
      <c r="J150" s="89">
        <f>E149*1.54</f>
        <v>1540</v>
      </c>
      <c r="K150" s="76"/>
      <c r="L150" s="92"/>
      <c r="M150" s="93"/>
      <c r="N150" s="65" t="s">
        <v>992</v>
      </c>
      <c r="O150" s="66"/>
      <c r="P150" s="66">
        <f>H150/C149</f>
        <v>1.54</v>
      </c>
      <c r="Q150" s="66"/>
      <c r="R150" s="66"/>
      <c r="S150" s="66"/>
      <c r="V150" s="14"/>
    </row>
    <row r="151" spans="1:23" s="18" customFormat="1" ht="66.75" customHeight="1" x14ac:dyDescent="0.25">
      <c r="A151" s="65" t="s">
        <v>248</v>
      </c>
      <c r="B151" s="69" t="s">
        <v>1229</v>
      </c>
      <c r="C151" s="89">
        <v>2300</v>
      </c>
      <c r="D151" s="89">
        <v>1400</v>
      </c>
      <c r="E151" s="89">
        <v>800</v>
      </c>
      <c r="F151" s="65" t="s">
        <v>248</v>
      </c>
      <c r="G151" s="116" t="s">
        <v>1230</v>
      </c>
      <c r="H151" s="89">
        <v>2550</v>
      </c>
      <c r="I151" s="89">
        <f>D151*1.11</f>
        <v>1554.0000000000002</v>
      </c>
      <c r="J151" s="89">
        <f>E151*1.11</f>
        <v>888.00000000000011</v>
      </c>
      <c r="K151" s="76">
        <f t="shared" si="16"/>
        <v>10.869565217391312</v>
      </c>
      <c r="L151" s="92">
        <f t="shared" si="16"/>
        <v>11.000000000000014</v>
      </c>
      <c r="M151" s="93">
        <f t="shared" si="16"/>
        <v>11.000000000000014</v>
      </c>
      <c r="N151" s="65" t="s">
        <v>136</v>
      </c>
      <c r="O151" s="66"/>
      <c r="P151" s="94">
        <f>H151/C151</f>
        <v>1.1086956521739131</v>
      </c>
      <c r="Q151" s="66"/>
      <c r="R151" s="66"/>
      <c r="S151" s="66"/>
      <c r="V151" s="19"/>
      <c r="W151" s="19">
        <f t="shared" si="18"/>
        <v>1.1086956521739131</v>
      </c>
    </row>
    <row r="152" spans="1:23" s="18" customFormat="1" ht="66" x14ac:dyDescent="0.25">
      <c r="A152" s="65" t="s">
        <v>249</v>
      </c>
      <c r="B152" s="69" t="s">
        <v>1231</v>
      </c>
      <c r="C152" s="89">
        <v>1300</v>
      </c>
      <c r="D152" s="89">
        <v>700</v>
      </c>
      <c r="E152" s="89">
        <v>380</v>
      </c>
      <c r="F152" s="65" t="s">
        <v>249</v>
      </c>
      <c r="G152" s="62" t="s">
        <v>1232</v>
      </c>
      <c r="H152" s="89">
        <v>1440</v>
      </c>
      <c r="I152" s="89">
        <f>D152*1.11</f>
        <v>777.00000000000011</v>
      </c>
      <c r="J152" s="89">
        <f>E152*1.11</f>
        <v>421.8</v>
      </c>
      <c r="K152" s="76">
        <f t="shared" si="16"/>
        <v>10.769230769230774</v>
      </c>
      <c r="L152" s="92">
        <f t="shared" si="16"/>
        <v>11.000000000000014</v>
      </c>
      <c r="M152" s="93">
        <f t="shared" si="16"/>
        <v>11.000000000000014</v>
      </c>
      <c r="N152" s="65" t="s">
        <v>992</v>
      </c>
      <c r="O152" s="66"/>
      <c r="P152" s="94">
        <f>H152/C152</f>
        <v>1.1076923076923078</v>
      </c>
      <c r="Q152" s="66"/>
      <c r="R152" s="66"/>
      <c r="S152" s="66"/>
      <c r="V152" s="19"/>
      <c r="W152" s="19">
        <f t="shared" si="18"/>
        <v>1.1076923076923078</v>
      </c>
    </row>
    <row r="153" spans="1:23" ht="54" customHeight="1" x14ac:dyDescent="0.25">
      <c r="A153" s="65" t="s">
        <v>250</v>
      </c>
      <c r="B153" s="69" t="s">
        <v>1233</v>
      </c>
      <c r="C153" s="89">
        <v>1600</v>
      </c>
      <c r="D153" s="89">
        <v>800</v>
      </c>
      <c r="E153" s="89">
        <v>480</v>
      </c>
      <c r="F153" s="65" t="s">
        <v>250</v>
      </c>
      <c r="G153" s="103" t="s">
        <v>1234</v>
      </c>
      <c r="H153" s="89">
        <f t="shared" ref="H153:J155" si="19">C153*1.1</f>
        <v>1760.0000000000002</v>
      </c>
      <c r="I153" s="89">
        <f t="shared" si="19"/>
        <v>880.00000000000011</v>
      </c>
      <c r="J153" s="89">
        <f t="shared" si="19"/>
        <v>528</v>
      </c>
      <c r="K153" s="76">
        <f t="shared" si="16"/>
        <v>10.000000000000014</v>
      </c>
      <c r="L153" s="92">
        <f t="shared" si="16"/>
        <v>10.000000000000014</v>
      </c>
      <c r="M153" s="93">
        <f t="shared" si="16"/>
        <v>10.000000000000014</v>
      </c>
      <c r="N153" s="65" t="s">
        <v>136</v>
      </c>
      <c r="O153" s="83"/>
      <c r="P153" s="109"/>
      <c r="Q153" s="102"/>
      <c r="R153" s="102"/>
      <c r="S153" s="102"/>
      <c r="V153" s="14"/>
      <c r="W153" s="14">
        <f t="shared" si="18"/>
        <v>1.1000000000000001</v>
      </c>
    </row>
    <row r="154" spans="1:23" ht="68.25" customHeight="1" x14ac:dyDescent="0.25">
      <c r="A154" s="65" t="s">
        <v>251</v>
      </c>
      <c r="B154" s="69" t="s">
        <v>1235</v>
      </c>
      <c r="C154" s="89">
        <v>2500</v>
      </c>
      <c r="D154" s="89">
        <v>1450</v>
      </c>
      <c r="E154" s="89">
        <v>600</v>
      </c>
      <c r="F154" s="65" t="s">
        <v>251</v>
      </c>
      <c r="G154" s="117" t="s">
        <v>1236</v>
      </c>
      <c r="H154" s="89">
        <f t="shared" si="19"/>
        <v>2750</v>
      </c>
      <c r="I154" s="110">
        <f t="shared" si="19"/>
        <v>1595.0000000000002</v>
      </c>
      <c r="J154" s="110">
        <f t="shared" si="19"/>
        <v>660</v>
      </c>
      <c r="K154" s="76">
        <f t="shared" si="16"/>
        <v>10.000000000000014</v>
      </c>
      <c r="L154" s="92">
        <f t="shared" si="16"/>
        <v>10.000000000000014</v>
      </c>
      <c r="M154" s="93">
        <f t="shared" si="16"/>
        <v>10.000000000000014</v>
      </c>
      <c r="N154" s="65" t="s">
        <v>136</v>
      </c>
      <c r="O154" s="66"/>
      <c r="P154" s="66"/>
      <c r="Q154" s="66"/>
      <c r="R154" s="66"/>
      <c r="S154" s="66"/>
      <c r="V154" s="14"/>
      <c r="W154" s="14">
        <f t="shared" si="18"/>
        <v>1.1000000000000001</v>
      </c>
    </row>
    <row r="155" spans="1:23" ht="66" x14ac:dyDescent="0.25">
      <c r="A155" s="65" t="s">
        <v>252</v>
      </c>
      <c r="B155" s="69" t="s">
        <v>1237</v>
      </c>
      <c r="C155" s="89">
        <v>1300</v>
      </c>
      <c r="D155" s="89">
        <v>700</v>
      </c>
      <c r="E155" s="89">
        <v>380</v>
      </c>
      <c r="F155" s="65" t="s">
        <v>252</v>
      </c>
      <c r="G155" s="111" t="s">
        <v>1238</v>
      </c>
      <c r="H155" s="89">
        <f t="shared" si="19"/>
        <v>1430.0000000000002</v>
      </c>
      <c r="I155" s="89">
        <f t="shared" si="19"/>
        <v>770.00000000000011</v>
      </c>
      <c r="J155" s="89">
        <f t="shared" si="19"/>
        <v>418.00000000000006</v>
      </c>
      <c r="K155" s="76">
        <f t="shared" si="16"/>
        <v>10.000000000000014</v>
      </c>
      <c r="L155" s="92">
        <f t="shared" si="16"/>
        <v>10.000000000000014</v>
      </c>
      <c r="M155" s="93">
        <f t="shared" si="16"/>
        <v>10.000000000000014</v>
      </c>
      <c r="N155" s="65" t="s">
        <v>253</v>
      </c>
      <c r="O155" s="66"/>
      <c r="P155" s="66"/>
      <c r="Q155" s="66"/>
      <c r="R155" s="66">
        <f>I155/H155*100</f>
        <v>53.846153846153847</v>
      </c>
      <c r="S155" s="66">
        <f>J155/H155*100</f>
        <v>29.230769230769234</v>
      </c>
      <c r="V155" s="14"/>
      <c r="W155" s="14">
        <f t="shared" si="18"/>
        <v>1.1000000000000001</v>
      </c>
    </row>
    <row r="156" spans="1:23" ht="69" customHeight="1" x14ac:dyDescent="0.25">
      <c r="A156" s="65"/>
      <c r="B156" s="69"/>
      <c r="C156" s="89"/>
      <c r="D156" s="89"/>
      <c r="E156" s="89"/>
      <c r="F156" s="65" t="s">
        <v>254</v>
      </c>
      <c r="G156" s="111" t="s">
        <v>1239</v>
      </c>
      <c r="H156" s="89">
        <v>2155</v>
      </c>
      <c r="I156" s="89">
        <f>H156*54%</f>
        <v>1163.7</v>
      </c>
      <c r="J156" s="89">
        <f>H156*29%</f>
        <v>624.94999999999993</v>
      </c>
      <c r="K156" s="76"/>
      <c r="L156" s="92"/>
      <c r="M156" s="93"/>
      <c r="N156" s="65" t="s">
        <v>1029</v>
      </c>
      <c r="O156" s="66" t="s">
        <v>255</v>
      </c>
      <c r="P156" s="66"/>
      <c r="Q156" s="66"/>
      <c r="R156" s="66"/>
      <c r="S156" s="66"/>
      <c r="V156" s="14"/>
      <c r="W156" s="14" t="e">
        <f t="shared" si="18"/>
        <v>#DIV/0!</v>
      </c>
    </row>
    <row r="157" spans="1:23" ht="70.5" customHeight="1" x14ac:dyDescent="0.25">
      <c r="A157" s="65" t="s">
        <v>256</v>
      </c>
      <c r="B157" s="62" t="s">
        <v>257</v>
      </c>
      <c r="C157" s="89">
        <v>600</v>
      </c>
      <c r="D157" s="89">
        <v>350</v>
      </c>
      <c r="E157" s="89">
        <v>250</v>
      </c>
      <c r="F157" s="65" t="s">
        <v>256</v>
      </c>
      <c r="G157" s="62" t="s">
        <v>1030</v>
      </c>
      <c r="H157" s="89">
        <f>C157*1.1</f>
        <v>660</v>
      </c>
      <c r="I157" s="89">
        <f>D157*1.1</f>
        <v>385.00000000000006</v>
      </c>
      <c r="J157" s="89">
        <f>E157*1.1</f>
        <v>275</v>
      </c>
      <c r="K157" s="76">
        <f t="shared" si="16"/>
        <v>10.000000000000014</v>
      </c>
      <c r="L157" s="92">
        <f t="shared" si="16"/>
        <v>10.000000000000014</v>
      </c>
      <c r="M157" s="93">
        <f t="shared" si="16"/>
        <v>10.000000000000014</v>
      </c>
      <c r="N157" s="65" t="s">
        <v>1031</v>
      </c>
      <c r="O157" s="66" t="s">
        <v>258</v>
      </c>
      <c r="P157" s="66"/>
      <c r="Q157" s="66">
        <f>D157/C157*100</f>
        <v>58.333333333333336</v>
      </c>
      <c r="R157" s="66">
        <f>E157/C157*100</f>
        <v>41.666666666666671</v>
      </c>
      <c r="S157" s="66"/>
      <c r="V157" s="14"/>
      <c r="W157" s="14">
        <f t="shared" si="18"/>
        <v>1.1000000000000001</v>
      </c>
    </row>
    <row r="158" spans="1:23" s="18" customFormat="1" ht="65.25" customHeight="1" x14ac:dyDescent="0.25">
      <c r="A158" s="65" t="s">
        <v>259</v>
      </c>
      <c r="B158" s="62" t="s">
        <v>260</v>
      </c>
      <c r="C158" s="89">
        <v>550</v>
      </c>
      <c r="D158" s="89">
        <v>275</v>
      </c>
      <c r="E158" s="89">
        <v>165</v>
      </c>
      <c r="F158" s="65" t="s">
        <v>259</v>
      </c>
      <c r="G158" s="62" t="s">
        <v>260</v>
      </c>
      <c r="H158" s="89">
        <v>560</v>
      </c>
      <c r="I158" s="89">
        <f>275*1.02</f>
        <v>280.5</v>
      </c>
      <c r="J158" s="89">
        <f>165*1.02</f>
        <v>168.3</v>
      </c>
      <c r="K158" s="76">
        <f t="shared" si="16"/>
        <v>1.818181818181813</v>
      </c>
      <c r="L158" s="92">
        <f t="shared" si="16"/>
        <v>2</v>
      </c>
      <c r="M158" s="93">
        <f t="shared" si="16"/>
        <v>2</v>
      </c>
      <c r="N158" s="65" t="s">
        <v>102</v>
      </c>
      <c r="O158" s="66"/>
      <c r="P158" s="94">
        <f>H158/C158</f>
        <v>1.0181818181818181</v>
      </c>
      <c r="Q158" s="66"/>
      <c r="R158" s="66"/>
      <c r="S158" s="66"/>
      <c r="V158" s="19"/>
      <c r="W158" s="19">
        <f t="shared" si="18"/>
        <v>1.0181818181818181</v>
      </c>
    </row>
    <row r="159" spans="1:23" ht="86.25" customHeight="1" x14ac:dyDescent="0.25">
      <c r="A159" s="65"/>
      <c r="B159" s="62"/>
      <c r="C159" s="89"/>
      <c r="D159" s="89"/>
      <c r="E159" s="89"/>
      <c r="F159" s="65" t="s">
        <v>261</v>
      </c>
      <c r="G159" s="62" t="s">
        <v>262</v>
      </c>
      <c r="H159" s="89">
        <v>3080</v>
      </c>
      <c r="I159" s="89">
        <f>58%*H159</f>
        <v>1786.3999999999999</v>
      </c>
      <c r="J159" s="89">
        <f>26%*H159</f>
        <v>800.80000000000007</v>
      </c>
      <c r="K159" s="76"/>
      <c r="L159" s="92"/>
      <c r="M159" s="93"/>
      <c r="N159" s="65" t="s">
        <v>102</v>
      </c>
      <c r="O159" s="66" t="s">
        <v>263</v>
      </c>
      <c r="P159" s="66"/>
      <c r="Q159" s="66"/>
      <c r="R159" s="66"/>
      <c r="S159" s="66"/>
      <c r="V159" s="14"/>
      <c r="W159" s="14" t="e">
        <f t="shared" si="18"/>
        <v>#DIV/0!</v>
      </c>
    </row>
    <row r="160" spans="1:23" ht="66" x14ac:dyDescent="0.25">
      <c r="A160" s="65"/>
      <c r="B160" s="62"/>
      <c r="C160" s="89"/>
      <c r="D160" s="89"/>
      <c r="E160" s="89"/>
      <c r="F160" s="65" t="s">
        <v>264</v>
      </c>
      <c r="G160" s="62" t="s">
        <v>265</v>
      </c>
      <c r="H160" s="89">
        <v>1250</v>
      </c>
      <c r="I160" s="89">
        <f>H160*58%</f>
        <v>725</v>
      </c>
      <c r="J160" s="89">
        <f>H160*42%</f>
        <v>525</v>
      </c>
      <c r="K160" s="76"/>
      <c r="L160" s="92"/>
      <c r="M160" s="93"/>
      <c r="N160" s="65" t="s">
        <v>1032</v>
      </c>
      <c r="O160" s="66" t="s">
        <v>266</v>
      </c>
      <c r="P160" s="66"/>
      <c r="Q160" s="66" t="s">
        <v>267</v>
      </c>
      <c r="R160" s="66"/>
      <c r="S160" s="66"/>
      <c r="V160" s="14"/>
      <c r="W160" s="14" t="e">
        <f t="shared" si="18"/>
        <v>#DIV/0!</v>
      </c>
    </row>
    <row r="161" spans="1:23" ht="51.75" customHeight="1" x14ac:dyDescent="0.25">
      <c r="A161" s="65"/>
      <c r="B161" s="62"/>
      <c r="C161" s="89"/>
      <c r="D161" s="89"/>
      <c r="E161" s="89"/>
      <c r="F161" s="65" t="s">
        <v>268</v>
      </c>
      <c r="G161" s="62" t="s">
        <v>269</v>
      </c>
      <c r="H161" s="89">
        <v>500</v>
      </c>
      <c r="I161" s="89">
        <f>H161*54%</f>
        <v>270</v>
      </c>
      <c r="J161" s="89">
        <f>H161*29%</f>
        <v>145</v>
      </c>
      <c r="K161" s="76"/>
      <c r="L161" s="92"/>
      <c r="M161" s="93"/>
      <c r="N161" s="65" t="s">
        <v>1033</v>
      </c>
      <c r="O161" s="66"/>
      <c r="P161" s="66"/>
      <c r="Q161" s="66" t="s">
        <v>270</v>
      </c>
      <c r="R161" s="66"/>
      <c r="S161" s="66"/>
      <c r="V161" s="14"/>
      <c r="W161" s="14" t="e">
        <f t="shared" si="18"/>
        <v>#DIV/0!</v>
      </c>
    </row>
    <row r="162" spans="1:23" ht="49.5" x14ac:dyDescent="0.25">
      <c r="A162" s="65"/>
      <c r="B162" s="62"/>
      <c r="C162" s="89"/>
      <c r="D162" s="89"/>
      <c r="E162" s="89"/>
      <c r="F162" s="65" t="s">
        <v>271</v>
      </c>
      <c r="G162" s="62" t="s">
        <v>272</v>
      </c>
      <c r="H162" s="89">
        <v>500</v>
      </c>
      <c r="I162" s="89">
        <f>H162*54%</f>
        <v>270</v>
      </c>
      <c r="J162" s="89">
        <f>H162*29%</f>
        <v>145</v>
      </c>
      <c r="K162" s="76"/>
      <c r="L162" s="92"/>
      <c r="M162" s="93"/>
      <c r="N162" s="65" t="s">
        <v>1034</v>
      </c>
      <c r="O162" s="66"/>
      <c r="P162" s="66"/>
      <c r="Q162" s="66" t="s">
        <v>270</v>
      </c>
      <c r="R162" s="66"/>
      <c r="S162" s="66"/>
      <c r="V162" s="14"/>
      <c r="W162" s="14" t="e">
        <f t="shared" si="18"/>
        <v>#DIV/0!</v>
      </c>
    </row>
    <row r="163" spans="1:23" ht="42.75" customHeight="1" x14ac:dyDescent="0.25">
      <c r="A163" s="289" t="s">
        <v>273</v>
      </c>
      <c r="B163" s="62" t="s">
        <v>115</v>
      </c>
      <c r="C163" s="89">
        <v>350</v>
      </c>
      <c r="D163" s="89">
        <v>240</v>
      </c>
      <c r="E163" s="89">
        <v>160</v>
      </c>
      <c r="F163" s="289" t="s">
        <v>273</v>
      </c>
      <c r="G163" s="62" t="s">
        <v>115</v>
      </c>
      <c r="H163" s="89">
        <v>600</v>
      </c>
      <c r="I163" s="89">
        <f>H163*69%</f>
        <v>413.99999999999994</v>
      </c>
      <c r="J163" s="89">
        <f>H163*46%</f>
        <v>276</v>
      </c>
      <c r="K163" s="76">
        <f t="shared" si="16"/>
        <v>71.428571428571416</v>
      </c>
      <c r="L163" s="92">
        <f t="shared" si="16"/>
        <v>72.5</v>
      </c>
      <c r="M163" s="93">
        <f t="shared" si="16"/>
        <v>72.5</v>
      </c>
      <c r="N163" s="65" t="s">
        <v>102</v>
      </c>
      <c r="O163" s="66"/>
      <c r="P163" s="66"/>
      <c r="Q163" s="66"/>
      <c r="R163" s="66">
        <f>D163/C163*100</f>
        <v>68.571428571428569</v>
      </c>
      <c r="S163" s="66">
        <f>E163/C163*100</f>
        <v>45.714285714285715</v>
      </c>
      <c r="V163" s="14"/>
      <c r="W163" s="14">
        <f t="shared" si="18"/>
        <v>1.7142857142857142</v>
      </c>
    </row>
    <row r="164" spans="1:23" ht="42.75" customHeight="1" x14ac:dyDescent="0.25">
      <c r="A164" s="289"/>
      <c r="B164" s="62" t="s">
        <v>116</v>
      </c>
      <c r="C164" s="89">
        <v>280</v>
      </c>
      <c r="D164" s="89">
        <v>170</v>
      </c>
      <c r="E164" s="89">
        <v>140</v>
      </c>
      <c r="F164" s="289"/>
      <c r="G164" s="62" t="s">
        <v>116</v>
      </c>
      <c r="H164" s="89">
        <v>550</v>
      </c>
      <c r="I164" s="89">
        <f>H164*61%</f>
        <v>335.5</v>
      </c>
      <c r="J164" s="89">
        <f>H164*50%</f>
        <v>275</v>
      </c>
      <c r="K164" s="76">
        <f t="shared" si="16"/>
        <v>96.428571428571416</v>
      </c>
      <c r="L164" s="92">
        <f t="shared" si="16"/>
        <v>97.352941176470608</v>
      </c>
      <c r="M164" s="93">
        <f t="shared" si="16"/>
        <v>96.428571428571416</v>
      </c>
      <c r="N164" s="99" t="s">
        <v>274</v>
      </c>
      <c r="O164" s="66"/>
      <c r="P164" s="66"/>
      <c r="Q164" s="66"/>
      <c r="R164" s="66">
        <f>D164/C164*100</f>
        <v>60.714285714285708</v>
      </c>
      <c r="S164" s="66">
        <f>E164/C164*100</f>
        <v>50</v>
      </c>
      <c r="V164" s="14"/>
      <c r="W164" s="14">
        <f t="shared" si="18"/>
        <v>1.9642857142857142</v>
      </c>
    </row>
    <row r="165" spans="1:23" ht="42.75" customHeight="1" x14ac:dyDescent="0.25">
      <c r="A165" s="289"/>
      <c r="B165" s="62" t="s">
        <v>118</v>
      </c>
      <c r="C165" s="89">
        <v>220</v>
      </c>
      <c r="D165" s="89">
        <v>140</v>
      </c>
      <c r="E165" s="89">
        <v>100</v>
      </c>
      <c r="F165" s="289"/>
      <c r="G165" s="62" t="s">
        <v>118</v>
      </c>
      <c r="H165" s="89">
        <v>500</v>
      </c>
      <c r="I165" s="89">
        <f>H165*64%</f>
        <v>320</v>
      </c>
      <c r="J165" s="89">
        <f>H165*45%</f>
        <v>225</v>
      </c>
      <c r="K165" s="76">
        <f t="shared" si="16"/>
        <v>127.27272727272728</v>
      </c>
      <c r="L165" s="92">
        <f t="shared" si="16"/>
        <v>128.57142857142856</v>
      </c>
      <c r="M165" s="93">
        <f t="shared" si="16"/>
        <v>125</v>
      </c>
      <c r="N165" s="65" t="s">
        <v>102</v>
      </c>
      <c r="O165" s="66"/>
      <c r="P165" s="66"/>
      <c r="Q165" s="66"/>
      <c r="R165" s="66">
        <f>D165/C165*100</f>
        <v>63.636363636363633</v>
      </c>
      <c r="S165" s="66">
        <f>E165/C165*100</f>
        <v>45.454545454545453</v>
      </c>
      <c r="V165" s="14"/>
      <c r="W165" s="14">
        <f t="shared" si="18"/>
        <v>2.2727272727272729</v>
      </c>
    </row>
    <row r="166" spans="1:23" ht="33" x14ac:dyDescent="0.25">
      <c r="A166" s="65" t="s">
        <v>275</v>
      </c>
      <c r="B166" s="62" t="s">
        <v>53</v>
      </c>
      <c r="C166" s="89">
        <v>120</v>
      </c>
      <c r="D166" s="89">
        <v>100</v>
      </c>
      <c r="E166" s="89">
        <v>90</v>
      </c>
      <c r="F166" s="65" t="s">
        <v>275</v>
      </c>
      <c r="G166" s="62" t="s">
        <v>53</v>
      </c>
      <c r="H166" s="89">
        <f>C166*1.1</f>
        <v>132</v>
      </c>
      <c r="I166" s="89">
        <f>D166*1.1</f>
        <v>110.00000000000001</v>
      </c>
      <c r="J166" s="89">
        <f>E166*1.1</f>
        <v>99.000000000000014</v>
      </c>
      <c r="K166" s="76">
        <f t="shared" si="16"/>
        <v>10.000000000000014</v>
      </c>
      <c r="L166" s="92">
        <f t="shared" si="16"/>
        <v>10.000000000000014</v>
      </c>
      <c r="M166" s="93">
        <f t="shared" si="16"/>
        <v>10.000000000000014</v>
      </c>
      <c r="N166" s="65" t="s">
        <v>102</v>
      </c>
      <c r="O166" s="66"/>
      <c r="P166" s="66"/>
      <c r="Q166" s="66"/>
      <c r="R166" s="66"/>
      <c r="S166" s="66"/>
      <c r="V166" s="14"/>
      <c r="W166" s="14">
        <f t="shared" si="18"/>
        <v>1.1000000000000001</v>
      </c>
    </row>
    <row r="167" spans="1:23" ht="16.5" x14ac:dyDescent="0.25">
      <c r="A167" s="82">
        <v>11</v>
      </c>
      <c r="B167" s="69" t="s">
        <v>276</v>
      </c>
      <c r="C167" s="89"/>
      <c r="D167" s="89"/>
      <c r="E167" s="89"/>
      <c r="F167" s="82">
        <v>11</v>
      </c>
      <c r="G167" s="69" t="s">
        <v>276</v>
      </c>
      <c r="H167" s="89"/>
      <c r="I167" s="89"/>
      <c r="J167" s="89"/>
      <c r="K167" s="76"/>
      <c r="L167" s="92"/>
      <c r="M167" s="93"/>
      <c r="N167" s="65"/>
      <c r="O167" s="66"/>
      <c r="P167" s="66"/>
      <c r="Q167" s="66"/>
      <c r="R167" s="66"/>
      <c r="S167" s="66"/>
      <c r="V167" s="14"/>
      <c r="W167" s="14" t="e">
        <f t="shared" si="18"/>
        <v>#DIV/0!</v>
      </c>
    </row>
    <row r="168" spans="1:23" ht="71.25" customHeight="1" x14ac:dyDescent="0.25">
      <c r="A168" s="65" t="s">
        <v>277</v>
      </c>
      <c r="B168" s="69" t="s">
        <v>1240</v>
      </c>
      <c r="C168" s="89">
        <v>2200</v>
      </c>
      <c r="D168" s="89">
        <v>1200</v>
      </c>
      <c r="E168" s="89">
        <v>600</v>
      </c>
      <c r="F168" s="65" t="s">
        <v>277</v>
      </c>
      <c r="G168" s="69" t="s">
        <v>1240</v>
      </c>
      <c r="H168" s="89">
        <v>3400</v>
      </c>
      <c r="I168" s="89">
        <f>H168*55%</f>
        <v>1870.0000000000002</v>
      </c>
      <c r="J168" s="89">
        <f>H168*27%</f>
        <v>918.00000000000011</v>
      </c>
      <c r="K168" s="76">
        <f t="shared" si="16"/>
        <v>54.545454545454533</v>
      </c>
      <c r="L168" s="92">
        <f t="shared" si="16"/>
        <v>55.833333333333371</v>
      </c>
      <c r="M168" s="93">
        <f t="shared" si="16"/>
        <v>53.000000000000028</v>
      </c>
      <c r="N168" s="65" t="s">
        <v>1021</v>
      </c>
      <c r="O168" s="66" t="s">
        <v>278</v>
      </c>
      <c r="P168" s="66"/>
      <c r="Q168" s="66">
        <f>D168/C168*100</f>
        <v>54.54545454545454</v>
      </c>
      <c r="R168" s="66">
        <f>E168/C168*100</f>
        <v>27.27272727272727</v>
      </c>
      <c r="S168" s="66"/>
      <c r="V168" s="14"/>
      <c r="W168" s="14">
        <f t="shared" si="18"/>
        <v>1.5454545454545454</v>
      </c>
    </row>
    <row r="169" spans="1:23" ht="49.5" x14ac:dyDescent="0.25">
      <c r="A169" s="65" t="s">
        <v>279</v>
      </c>
      <c r="B169" s="69" t="s">
        <v>1241</v>
      </c>
      <c r="C169" s="89">
        <v>2550</v>
      </c>
      <c r="D169" s="89">
        <v>1450</v>
      </c>
      <c r="E169" s="89">
        <v>700</v>
      </c>
      <c r="F169" s="65" t="s">
        <v>279</v>
      </c>
      <c r="G169" s="69" t="s">
        <v>1241</v>
      </c>
      <c r="H169" s="89">
        <f t="shared" ref="H169:J170" si="20">C169*1.1</f>
        <v>2805</v>
      </c>
      <c r="I169" s="89">
        <f t="shared" si="20"/>
        <v>1595.0000000000002</v>
      </c>
      <c r="J169" s="89">
        <f t="shared" si="20"/>
        <v>770.00000000000011</v>
      </c>
      <c r="K169" s="76">
        <f t="shared" si="16"/>
        <v>10.000000000000014</v>
      </c>
      <c r="L169" s="92">
        <f t="shared" si="16"/>
        <v>10.000000000000014</v>
      </c>
      <c r="M169" s="93">
        <f t="shared" si="16"/>
        <v>10.000000000000014</v>
      </c>
      <c r="N169" s="65" t="s">
        <v>102</v>
      </c>
      <c r="O169" s="66"/>
      <c r="P169" s="66"/>
      <c r="Q169" s="66"/>
      <c r="R169" s="66"/>
      <c r="S169" s="66"/>
      <c r="V169" s="14"/>
      <c r="W169" s="14">
        <f t="shared" si="18"/>
        <v>1.1000000000000001</v>
      </c>
    </row>
    <row r="170" spans="1:23" ht="49.5" x14ac:dyDescent="0.25">
      <c r="A170" s="65" t="s">
        <v>280</v>
      </c>
      <c r="B170" s="69" t="s">
        <v>1242</v>
      </c>
      <c r="C170" s="89">
        <v>1700</v>
      </c>
      <c r="D170" s="89">
        <v>850</v>
      </c>
      <c r="E170" s="89">
        <v>500</v>
      </c>
      <c r="F170" s="65" t="s">
        <v>280</v>
      </c>
      <c r="G170" s="69" t="s">
        <v>1242</v>
      </c>
      <c r="H170" s="89">
        <f t="shared" si="20"/>
        <v>1870.0000000000002</v>
      </c>
      <c r="I170" s="89">
        <f t="shared" si="20"/>
        <v>935.00000000000011</v>
      </c>
      <c r="J170" s="89">
        <f t="shared" si="20"/>
        <v>550</v>
      </c>
      <c r="K170" s="76">
        <f t="shared" si="16"/>
        <v>10.000000000000014</v>
      </c>
      <c r="L170" s="92">
        <f t="shared" si="16"/>
        <v>10.000000000000014</v>
      </c>
      <c r="M170" s="93">
        <f t="shared" si="16"/>
        <v>10.000000000000014</v>
      </c>
      <c r="N170" s="65" t="s">
        <v>102</v>
      </c>
      <c r="O170" s="66"/>
      <c r="P170" s="66"/>
      <c r="Q170" s="66"/>
      <c r="R170" s="66"/>
      <c r="S170" s="66"/>
      <c r="V170" s="14"/>
      <c r="W170" s="14">
        <f t="shared" si="18"/>
        <v>1.1000000000000001</v>
      </c>
    </row>
    <row r="171" spans="1:23" ht="133.5" customHeight="1" x14ac:dyDescent="0.25">
      <c r="A171" s="65" t="s">
        <v>281</v>
      </c>
      <c r="B171" s="69" t="s">
        <v>1243</v>
      </c>
      <c r="C171" s="89">
        <v>700</v>
      </c>
      <c r="D171" s="89">
        <v>420</v>
      </c>
      <c r="E171" s="89">
        <v>280</v>
      </c>
      <c r="F171" s="65" t="s">
        <v>281</v>
      </c>
      <c r="G171" s="62" t="s">
        <v>282</v>
      </c>
      <c r="H171" s="89">
        <v>1310</v>
      </c>
      <c r="I171" s="89">
        <f>H171*60%</f>
        <v>786</v>
      </c>
      <c r="J171" s="89">
        <f>H171*40%</f>
        <v>524</v>
      </c>
      <c r="K171" s="76">
        <f t="shared" si="16"/>
        <v>87.142857142857139</v>
      </c>
      <c r="L171" s="92">
        <f t="shared" si="16"/>
        <v>87.142857142857139</v>
      </c>
      <c r="M171" s="93">
        <f t="shared" si="16"/>
        <v>87.142857142857139</v>
      </c>
      <c r="N171" s="65" t="s">
        <v>993</v>
      </c>
      <c r="O171" s="66" t="s">
        <v>283</v>
      </c>
      <c r="P171" s="66"/>
      <c r="Q171" s="66">
        <f>D171/C171*100</f>
        <v>60</v>
      </c>
      <c r="R171" s="66">
        <f>E171/C171*100</f>
        <v>40</v>
      </c>
      <c r="S171" s="66"/>
      <c r="V171" s="14"/>
      <c r="W171" s="14">
        <f t="shared" si="18"/>
        <v>1.8714285714285714</v>
      </c>
    </row>
    <row r="172" spans="1:23" ht="67.5" customHeight="1" x14ac:dyDescent="0.25">
      <c r="A172" s="65" t="s">
        <v>284</v>
      </c>
      <c r="B172" s="69" t="s">
        <v>1244</v>
      </c>
      <c r="C172" s="89">
        <v>700</v>
      </c>
      <c r="D172" s="89">
        <v>420</v>
      </c>
      <c r="E172" s="89">
        <v>280</v>
      </c>
      <c r="F172" s="65" t="s">
        <v>284</v>
      </c>
      <c r="G172" s="69" t="s">
        <v>1244</v>
      </c>
      <c r="H172" s="89">
        <v>1310</v>
      </c>
      <c r="I172" s="89">
        <f>H172*60%</f>
        <v>786</v>
      </c>
      <c r="J172" s="89">
        <f>H172*40%</f>
        <v>524</v>
      </c>
      <c r="K172" s="76">
        <f t="shared" si="16"/>
        <v>87.142857142857139</v>
      </c>
      <c r="L172" s="92">
        <f t="shared" si="16"/>
        <v>87.142857142857139</v>
      </c>
      <c r="M172" s="93">
        <f t="shared" si="16"/>
        <v>87.142857142857139</v>
      </c>
      <c r="N172" s="65" t="s">
        <v>1021</v>
      </c>
      <c r="O172" s="66"/>
      <c r="P172" s="66"/>
      <c r="Q172" s="66">
        <f>I172/H172*100</f>
        <v>60</v>
      </c>
      <c r="R172" s="66">
        <f>J172/H172*100</f>
        <v>40</v>
      </c>
      <c r="S172" s="66"/>
      <c r="V172" s="14"/>
      <c r="W172" s="14">
        <f t="shared" si="18"/>
        <v>1.8714285714285714</v>
      </c>
    </row>
    <row r="173" spans="1:23" ht="60.75" customHeight="1" x14ac:dyDescent="0.25">
      <c r="A173" s="65" t="s">
        <v>285</v>
      </c>
      <c r="B173" s="69" t="s">
        <v>1245</v>
      </c>
      <c r="C173" s="89">
        <v>420</v>
      </c>
      <c r="D173" s="89">
        <v>300</v>
      </c>
      <c r="E173" s="89">
        <v>200</v>
      </c>
      <c r="F173" s="65" t="s">
        <v>285</v>
      </c>
      <c r="G173" s="69" t="s">
        <v>1245</v>
      </c>
      <c r="H173" s="89">
        <v>800</v>
      </c>
      <c r="I173" s="89">
        <f>H173*41%</f>
        <v>328</v>
      </c>
      <c r="J173" s="89">
        <f>H173*28%</f>
        <v>224.00000000000003</v>
      </c>
      <c r="K173" s="76">
        <f t="shared" si="16"/>
        <v>90.476190476190453</v>
      </c>
      <c r="L173" s="92">
        <f t="shared" si="16"/>
        <v>9.3333333333333286</v>
      </c>
      <c r="M173" s="93">
        <f t="shared" si="16"/>
        <v>12.000000000000014</v>
      </c>
      <c r="N173" s="65" t="s">
        <v>102</v>
      </c>
      <c r="O173" s="66"/>
      <c r="P173" s="66"/>
      <c r="Q173" s="66">
        <f>I173/H173*100</f>
        <v>41</v>
      </c>
      <c r="R173" s="66">
        <f>J173/H173*100</f>
        <v>28.000000000000004</v>
      </c>
      <c r="S173" s="66"/>
      <c r="V173" s="14"/>
      <c r="W173" s="14">
        <f t="shared" si="18"/>
        <v>1.9047619047619047</v>
      </c>
    </row>
    <row r="174" spans="1:23" ht="49.5" x14ac:dyDescent="0.25">
      <c r="A174" s="65" t="s">
        <v>286</v>
      </c>
      <c r="B174" s="62" t="s">
        <v>287</v>
      </c>
      <c r="C174" s="89">
        <v>420</v>
      </c>
      <c r="D174" s="89">
        <v>300</v>
      </c>
      <c r="E174" s="89">
        <v>200</v>
      </c>
      <c r="F174" s="65" t="s">
        <v>286</v>
      </c>
      <c r="G174" s="103" t="s">
        <v>288</v>
      </c>
      <c r="H174" s="89">
        <v>800</v>
      </c>
      <c r="I174" s="89">
        <f>H174*41%</f>
        <v>328</v>
      </c>
      <c r="J174" s="89">
        <f>H174*28%</f>
        <v>224.00000000000003</v>
      </c>
      <c r="K174" s="76">
        <f t="shared" si="16"/>
        <v>90.476190476190453</v>
      </c>
      <c r="L174" s="92">
        <f t="shared" si="16"/>
        <v>9.3333333333333286</v>
      </c>
      <c r="M174" s="93">
        <f t="shared" si="16"/>
        <v>12.000000000000014</v>
      </c>
      <c r="N174" s="65" t="s">
        <v>1032</v>
      </c>
      <c r="O174" s="66"/>
      <c r="P174" s="66"/>
      <c r="Q174" s="66">
        <f>I174/H174*100</f>
        <v>41</v>
      </c>
      <c r="R174" s="66">
        <f>J174/H174*100</f>
        <v>28.000000000000004</v>
      </c>
      <c r="S174" s="66"/>
      <c r="V174" s="14"/>
      <c r="W174" s="14">
        <f t="shared" si="18"/>
        <v>1.9047619047619047</v>
      </c>
    </row>
    <row r="175" spans="1:23" ht="67.5" customHeight="1" x14ac:dyDescent="0.25">
      <c r="A175" s="65" t="s">
        <v>289</v>
      </c>
      <c r="B175" s="69" t="s">
        <v>1246</v>
      </c>
      <c r="C175" s="89">
        <v>380</v>
      </c>
      <c r="D175" s="89">
        <v>280</v>
      </c>
      <c r="E175" s="89">
        <v>200</v>
      </c>
      <c r="F175" s="65" t="s">
        <v>289</v>
      </c>
      <c r="G175" s="62" t="s">
        <v>290</v>
      </c>
      <c r="H175" s="89">
        <v>740</v>
      </c>
      <c r="I175" s="89">
        <f>H175*42%</f>
        <v>310.8</v>
      </c>
      <c r="J175" s="89">
        <f>H175*30%</f>
        <v>222</v>
      </c>
      <c r="K175" s="76">
        <f t="shared" si="16"/>
        <v>94.73684210526315</v>
      </c>
      <c r="L175" s="92">
        <f t="shared" si="16"/>
        <v>11.000000000000014</v>
      </c>
      <c r="M175" s="93">
        <f t="shared" si="16"/>
        <v>11.000000000000014</v>
      </c>
      <c r="N175" s="65" t="s">
        <v>1032</v>
      </c>
      <c r="O175" s="66" t="s">
        <v>291</v>
      </c>
      <c r="P175" s="66"/>
      <c r="Q175" s="66">
        <f>I175/H175*100</f>
        <v>42.000000000000007</v>
      </c>
      <c r="R175" s="66">
        <f>J175/H175*100</f>
        <v>30</v>
      </c>
      <c r="S175" s="66"/>
      <c r="V175" s="14"/>
      <c r="W175" s="14">
        <f t="shared" si="18"/>
        <v>1.9473684210526316</v>
      </c>
    </row>
    <row r="176" spans="1:23" ht="85.5" customHeight="1" x14ac:dyDescent="0.25">
      <c r="A176" s="65"/>
      <c r="B176" s="69"/>
      <c r="C176" s="89"/>
      <c r="D176" s="89"/>
      <c r="E176" s="89"/>
      <c r="F176" s="65" t="s">
        <v>292</v>
      </c>
      <c r="G176" s="103" t="s">
        <v>293</v>
      </c>
      <c r="H176" s="89">
        <v>1000</v>
      </c>
      <c r="I176" s="89">
        <f>H176*60%</f>
        <v>600</v>
      </c>
      <c r="J176" s="89">
        <f>H176*40%</f>
        <v>400</v>
      </c>
      <c r="K176" s="76"/>
      <c r="L176" s="92"/>
      <c r="M176" s="93"/>
      <c r="N176" s="65" t="s">
        <v>294</v>
      </c>
      <c r="O176" s="66"/>
      <c r="P176" s="66"/>
      <c r="Q176" s="66"/>
      <c r="R176" s="66"/>
      <c r="S176" s="66"/>
      <c r="V176" s="14"/>
      <c r="W176" s="14" t="e">
        <f t="shared" si="18"/>
        <v>#DIV/0!</v>
      </c>
    </row>
    <row r="177" spans="1:23" ht="39.75" customHeight="1" x14ac:dyDescent="0.25">
      <c r="A177" s="289" t="s">
        <v>295</v>
      </c>
      <c r="B177" s="62" t="s">
        <v>115</v>
      </c>
      <c r="C177" s="89">
        <v>320</v>
      </c>
      <c r="D177" s="89">
        <v>200</v>
      </c>
      <c r="E177" s="89">
        <v>150</v>
      </c>
      <c r="F177" s="289" t="s">
        <v>295</v>
      </c>
      <c r="G177" s="62" t="s">
        <v>115</v>
      </c>
      <c r="H177" s="89">
        <v>600</v>
      </c>
      <c r="I177" s="89">
        <f>H177*63%</f>
        <v>378</v>
      </c>
      <c r="J177" s="89">
        <f>H177*47%</f>
        <v>282</v>
      </c>
      <c r="K177" s="76">
        <f t="shared" si="16"/>
        <v>87.5</v>
      </c>
      <c r="L177" s="92">
        <f t="shared" si="16"/>
        <v>89</v>
      </c>
      <c r="M177" s="93">
        <f t="shared" si="16"/>
        <v>88</v>
      </c>
      <c r="N177" s="65" t="s">
        <v>102</v>
      </c>
      <c r="O177" s="66"/>
      <c r="P177" s="66"/>
      <c r="Q177" s="66">
        <f>D177/C177*100</f>
        <v>62.5</v>
      </c>
      <c r="R177" s="66">
        <f>E177/C177*100</f>
        <v>46.875</v>
      </c>
      <c r="S177" s="66"/>
      <c r="V177" s="14"/>
      <c r="W177" s="14">
        <f t="shared" si="18"/>
        <v>1.875</v>
      </c>
    </row>
    <row r="178" spans="1:23" ht="39.75" customHeight="1" x14ac:dyDescent="0.25">
      <c r="A178" s="289"/>
      <c r="B178" s="62" t="s">
        <v>116</v>
      </c>
      <c r="C178" s="89">
        <v>250</v>
      </c>
      <c r="D178" s="89">
        <v>180</v>
      </c>
      <c r="E178" s="89">
        <v>130</v>
      </c>
      <c r="F178" s="289"/>
      <c r="G178" s="62" t="s">
        <v>116</v>
      </c>
      <c r="H178" s="89">
        <v>571</v>
      </c>
      <c r="I178" s="89">
        <f>H178*72%</f>
        <v>411.12</v>
      </c>
      <c r="J178" s="89">
        <f>H178*52%</f>
        <v>296.92</v>
      </c>
      <c r="K178" s="76">
        <f t="shared" si="16"/>
        <v>128.39999999999998</v>
      </c>
      <c r="L178" s="92">
        <f t="shared" si="16"/>
        <v>128.39999999999998</v>
      </c>
      <c r="M178" s="93">
        <f t="shared" si="16"/>
        <v>128.40000000000003</v>
      </c>
      <c r="N178" s="99" t="s">
        <v>148</v>
      </c>
      <c r="O178" s="66"/>
      <c r="P178" s="66"/>
      <c r="Q178" s="66">
        <f>D178/C178*100</f>
        <v>72</v>
      </c>
      <c r="R178" s="66">
        <f>E178/C178*100</f>
        <v>52</v>
      </c>
      <c r="S178" s="66"/>
      <c r="V178" s="14"/>
      <c r="W178" s="14">
        <f t="shared" si="18"/>
        <v>2.2839999999999998</v>
      </c>
    </row>
    <row r="179" spans="1:23" ht="39.75" customHeight="1" x14ac:dyDescent="0.25">
      <c r="A179" s="289"/>
      <c r="B179" s="62" t="s">
        <v>118</v>
      </c>
      <c r="C179" s="89">
        <v>200</v>
      </c>
      <c r="D179" s="89">
        <v>130</v>
      </c>
      <c r="E179" s="89">
        <v>100</v>
      </c>
      <c r="F179" s="289"/>
      <c r="G179" s="62" t="s">
        <v>118</v>
      </c>
      <c r="H179" s="89">
        <v>400</v>
      </c>
      <c r="I179" s="89">
        <f>H179*65%</f>
        <v>260</v>
      </c>
      <c r="J179" s="89">
        <f>H179*50%</f>
        <v>200</v>
      </c>
      <c r="K179" s="76">
        <f t="shared" si="16"/>
        <v>100</v>
      </c>
      <c r="L179" s="92">
        <f t="shared" si="16"/>
        <v>100</v>
      </c>
      <c r="M179" s="93">
        <f t="shared" si="16"/>
        <v>100</v>
      </c>
      <c r="N179" s="65" t="s">
        <v>102</v>
      </c>
      <c r="O179" s="66"/>
      <c r="P179" s="66"/>
      <c r="Q179" s="66">
        <f>D179/C179*100</f>
        <v>65</v>
      </c>
      <c r="R179" s="66">
        <f>E179/C179*100</f>
        <v>50</v>
      </c>
      <c r="S179" s="66"/>
      <c r="V179" s="14"/>
      <c r="W179" s="14">
        <f t="shared" si="18"/>
        <v>2</v>
      </c>
    </row>
    <row r="180" spans="1:23" ht="33" customHeight="1" x14ac:dyDescent="0.25">
      <c r="A180" s="65" t="s">
        <v>296</v>
      </c>
      <c r="B180" s="62" t="s">
        <v>53</v>
      </c>
      <c r="C180" s="89">
        <v>120</v>
      </c>
      <c r="D180" s="89">
        <v>100</v>
      </c>
      <c r="E180" s="89">
        <v>90</v>
      </c>
      <c r="F180" s="65" t="s">
        <v>296</v>
      </c>
      <c r="G180" s="62" t="s">
        <v>53</v>
      </c>
      <c r="H180" s="89">
        <f>C180*1.1</f>
        <v>132</v>
      </c>
      <c r="I180" s="89">
        <f>D180*1.1</f>
        <v>110.00000000000001</v>
      </c>
      <c r="J180" s="89">
        <f>E180*1.1</f>
        <v>99.000000000000014</v>
      </c>
      <c r="K180" s="76">
        <f t="shared" si="16"/>
        <v>10.000000000000014</v>
      </c>
      <c r="L180" s="92">
        <f t="shared" si="16"/>
        <v>10.000000000000014</v>
      </c>
      <c r="M180" s="93">
        <f t="shared" si="16"/>
        <v>10.000000000000014</v>
      </c>
      <c r="N180" s="65" t="s">
        <v>992</v>
      </c>
      <c r="O180" s="66"/>
      <c r="P180" s="66"/>
      <c r="Q180" s="66"/>
      <c r="R180" s="66"/>
      <c r="S180" s="66"/>
      <c r="V180" s="14"/>
      <c r="W180" s="14">
        <f t="shared" si="18"/>
        <v>1.1000000000000001</v>
      </c>
    </row>
    <row r="181" spans="1:23" ht="24.75" customHeight="1" x14ac:dyDescent="0.25">
      <c r="A181" s="82">
        <v>12</v>
      </c>
      <c r="B181" s="69" t="s">
        <v>297</v>
      </c>
      <c r="C181" s="89"/>
      <c r="D181" s="89"/>
      <c r="E181" s="89"/>
      <c r="F181" s="82">
        <v>12</v>
      </c>
      <c r="G181" s="69" t="s">
        <v>297</v>
      </c>
      <c r="H181" s="89"/>
      <c r="I181" s="89"/>
      <c r="J181" s="89"/>
      <c r="K181" s="76"/>
      <c r="L181" s="92"/>
      <c r="M181" s="93"/>
      <c r="N181" s="65"/>
      <c r="O181" s="66"/>
      <c r="P181" s="66"/>
      <c r="Q181" s="66"/>
      <c r="R181" s="66"/>
      <c r="S181" s="66"/>
      <c r="V181" s="14"/>
      <c r="W181" s="14" t="e">
        <f t="shared" si="18"/>
        <v>#DIV/0!</v>
      </c>
    </row>
    <row r="182" spans="1:23" ht="91.5" customHeight="1" x14ac:dyDescent="0.25">
      <c r="A182" s="65" t="s">
        <v>298</v>
      </c>
      <c r="B182" s="69" t="s">
        <v>1247</v>
      </c>
      <c r="C182" s="89">
        <v>1800</v>
      </c>
      <c r="D182" s="89">
        <v>1000</v>
      </c>
      <c r="E182" s="89">
        <v>550</v>
      </c>
      <c r="F182" s="65" t="s">
        <v>298</v>
      </c>
      <c r="G182" s="69" t="s">
        <v>1247</v>
      </c>
      <c r="H182" s="89">
        <f t="shared" ref="H182:J183" si="21">C182*1.1</f>
        <v>1980.0000000000002</v>
      </c>
      <c r="I182" s="89">
        <f t="shared" si="21"/>
        <v>1100</v>
      </c>
      <c r="J182" s="89">
        <f t="shared" si="21"/>
        <v>605</v>
      </c>
      <c r="K182" s="76">
        <f t="shared" si="16"/>
        <v>10.000000000000014</v>
      </c>
      <c r="L182" s="92">
        <f t="shared" si="16"/>
        <v>10.000000000000014</v>
      </c>
      <c r="M182" s="93">
        <f t="shared" si="16"/>
        <v>10.000000000000014</v>
      </c>
      <c r="N182" s="65" t="s">
        <v>102</v>
      </c>
      <c r="O182" s="66"/>
      <c r="P182" s="66"/>
      <c r="Q182" s="66"/>
      <c r="R182" s="66"/>
      <c r="S182" s="66"/>
      <c r="V182" s="14"/>
      <c r="W182" s="14">
        <f t="shared" si="18"/>
        <v>1.1000000000000001</v>
      </c>
    </row>
    <row r="183" spans="1:23" ht="50.25" customHeight="1" x14ac:dyDescent="0.25">
      <c r="A183" s="65" t="s">
        <v>299</v>
      </c>
      <c r="B183" s="69" t="s">
        <v>1248</v>
      </c>
      <c r="C183" s="89">
        <v>550</v>
      </c>
      <c r="D183" s="89">
        <v>350</v>
      </c>
      <c r="E183" s="89">
        <v>250</v>
      </c>
      <c r="F183" s="65" t="s">
        <v>299</v>
      </c>
      <c r="G183" s="69" t="s">
        <v>1248</v>
      </c>
      <c r="H183" s="89">
        <f t="shared" si="21"/>
        <v>605</v>
      </c>
      <c r="I183" s="89">
        <f t="shared" si="21"/>
        <v>385.00000000000006</v>
      </c>
      <c r="J183" s="89">
        <f t="shared" si="21"/>
        <v>275</v>
      </c>
      <c r="K183" s="76">
        <f t="shared" si="16"/>
        <v>10.000000000000014</v>
      </c>
      <c r="L183" s="92">
        <f t="shared" si="16"/>
        <v>10.000000000000014</v>
      </c>
      <c r="M183" s="93">
        <f t="shared" si="16"/>
        <v>10.000000000000014</v>
      </c>
      <c r="N183" s="65" t="s">
        <v>102</v>
      </c>
      <c r="O183" s="66"/>
      <c r="P183" s="66"/>
      <c r="Q183" s="66"/>
      <c r="R183" s="66"/>
      <c r="S183" s="66"/>
      <c r="V183" s="14"/>
      <c r="W183" s="14">
        <f t="shared" si="18"/>
        <v>1.1000000000000001</v>
      </c>
    </row>
    <row r="184" spans="1:23" ht="129" customHeight="1" x14ac:dyDescent="0.25">
      <c r="A184" s="65" t="s">
        <v>300</v>
      </c>
      <c r="B184" s="69" t="s">
        <v>1249</v>
      </c>
      <c r="C184" s="89">
        <v>2000</v>
      </c>
      <c r="D184" s="89">
        <v>1150</v>
      </c>
      <c r="E184" s="89">
        <v>600</v>
      </c>
      <c r="F184" s="65" t="s">
        <v>300</v>
      </c>
      <c r="G184" s="69" t="s">
        <v>1249</v>
      </c>
      <c r="H184" s="89">
        <v>3150</v>
      </c>
      <c r="I184" s="89">
        <f>H184*58%</f>
        <v>1826.9999999999998</v>
      </c>
      <c r="J184" s="89">
        <f>H184*30%</f>
        <v>945</v>
      </c>
      <c r="K184" s="76">
        <f t="shared" si="16"/>
        <v>57.5</v>
      </c>
      <c r="L184" s="92">
        <f t="shared" si="16"/>
        <v>58.869565217391283</v>
      </c>
      <c r="M184" s="93">
        <f t="shared" si="16"/>
        <v>57.5</v>
      </c>
      <c r="N184" s="65" t="s">
        <v>1021</v>
      </c>
      <c r="O184" s="65" t="s">
        <v>301</v>
      </c>
      <c r="P184" s="66"/>
      <c r="Q184" s="66">
        <f t="shared" ref="Q184:Q189" si="22">D184/C184*100</f>
        <v>57.499999999999993</v>
      </c>
      <c r="R184" s="66">
        <f t="shared" ref="R184:R189" si="23">E184/C184*100</f>
        <v>30</v>
      </c>
      <c r="S184" s="66"/>
      <c r="V184" s="14"/>
      <c r="W184" s="14">
        <f t="shared" si="18"/>
        <v>1.575</v>
      </c>
    </row>
    <row r="185" spans="1:23" ht="126" customHeight="1" x14ac:dyDescent="0.25">
      <c r="A185" s="65" t="s">
        <v>302</v>
      </c>
      <c r="B185" s="69" t="s">
        <v>1250</v>
      </c>
      <c r="C185" s="89">
        <v>1600</v>
      </c>
      <c r="D185" s="89">
        <v>850</v>
      </c>
      <c r="E185" s="89">
        <v>480</v>
      </c>
      <c r="F185" s="65" t="s">
        <v>302</v>
      </c>
      <c r="G185" s="69" t="s">
        <v>1250</v>
      </c>
      <c r="H185" s="89">
        <v>2470</v>
      </c>
      <c r="I185" s="89">
        <f>H185*53%</f>
        <v>1309.1000000000001</v>
      </c>
      <c r="J185" s="89">
        <f>H185*30%</f>
        <v>741</v>
      </c>
      <c r="K185" s="76">
        <f t="shared" si="16"/>
        <v>54.375</v>
      </c>
      <c r="L185" s="92">
        <f t="shared" si="16"/>
        <v>54.011764705882371</v>
      </c>
      <c r="M185" s="93">
        <f t="shared" si="16"/>
        <v>54.375</v>
      </c>
      <c r="N185" s="65" t="s">
        <v>102</v>
      </c>
      <c r="O185" s="66" t="s">
        <v>303</v>
      </c>
      <c r="P185" s="66"/>
      <c r="Q185" s="66">
        <f t="shared" si="22"/>
        <v>53.125</v>
      </c>
      <c r="R185" s="66">
        <f t="shared" si="23"/>
        <v>30</v>
      </c>
      <c r="S185" s="66"/>
      <c r="V185" s="14"/>
      <c r="W185" s="14">
        <f t="shared" si="18"/>
        <v>1.54375</v>
      </c>
    </row>
    <row r="186" spans="1:23" ht="66" customHeight="1" x14ac:dyDescent="0.25">
      <c r="A186" s="65" t="s">
        <v>304</v>
      </c>
      <c r="B186" s="62" t="s">
        <v>305</v>
      </c>
      <c r="C186" s="89">
        <v>800</v>
      </c>
      <c r="D186" s="89">
        <v>550</v>
      </c>
      <c r="E186" s="89">
        <v>320</v>
      </c>
      <c r="F186" s="65" t="s">
        <v>304</v>
      </c>
      <c r="G186" s="62" t="s">
        <v>305</v>
      </c>
      <c r="H186" s="89">
        <v>1520</v>
      </c>
      <c r="I186" s="89">
        <f>H186*69%</f>
        <v>1048.8</v>
      </c>
      <c r="J186" s="89">
        <f>H186*40%</f>
        <v>608</v>
      </c>
      <c r="K186" s="76">
        <f t="shared" si="16"/>
        <v>90</v>
      </c>
      <c r="L186" s="92">
        <f t="shared" si="16"/>
        <v>90.690909090909088</v>
      </c>
      <c r="M186" s="93">
        <f t="shared" si="16"/>
        <v>90</v>
      </c>
      <c r="N186" s="65" t="s">
        <v>102</v>
      </c>
      <c r="O186" s="66" t="s">
        <v>306</v>
      </c>
      <c r="P186" s="66"/>
      <c r="Q186" s="66">
        <f t="shared" si="22"/>
        <v>68.75</v>
      </c>
      <c r="R186" s="66">
        <f t="shared" si="23"/>
        <v>40</v>
      </c>
      <c r="S186" s="66"/>
      <c r="V186" s="14"/>
      <c r="W186" s="14">
        <f t="shared" si="18"/>
        <v>1.9</v>
      </c>
    </row>
    <row r="187" spans="1:23" ht="48" customHeight="1" x14ac:dyDescent="0.25">
      <c r="A187" s="289" t="s">
        <v>307</v>
      </c>
      <c r="B187" s="62" t="s">
        <v>115</v>
      </c>
      <c r="C187" s="89">
        <v>300</v>
      </c>
      <c r="D187" s="89">
        <v>200</v>
      </c>
      <c r="E187" s="89">
        <v>150</v>
      </c>
      <c r="F187" s="289" t="s">
        <v>307</v>
      </c>
      <c r="G187" s="62" t="s">
        <v>115</v>
      </c>
      <c r="H187" s="89">
        <v>395</v>
      </c>
      <c r="I187" s="89">
        <f>H187*67%</f>
        <v>264.65000000000003</v>
      </c>
      <c r="J187" s="89">
        <f>H187*50%</f>
        <v>197.5</v>
      </c>
      <c r="K187" s="76">
        <f t="shared" si="16"/>
        <v>31.666666666666657</v>
      </c>
      <c r="L187" s="92">
        <f t="shared" si="16"/>
        <v>32.325000000000017</v>
      </c>
      <c r="M187" s="93">
        <f t="shared" si="16"/>
        <v>31.666666666666657</v>
      </c>
      <c r="N187" s="99" t="s">
        <v>308</v>
      </c>
      <c r="O187" s="66"/>
      <c r="P187" s="66"/>
      <c r="Q187" s="66">
        <f t="shared" si="22"/>
        <v>66.666666666666657</v>
      </c>
      <c r="R187" s="66">
        <f t="shared" si="23"/>
        <v>50</v>
      </c>
      <c r="S187" s="66"/>
      <c r="V187" s="14"/>
      <c r="W187" s="14">
        <f t="shared" si="18"/>
        <v>1.3166666666666667</v>
      </c>
    </row>
    <row r="188" spans="1:23" ht="48" customHeight="1" x14ac:dyDescent="0.25">
      <c r="A188" s="289"/>
      <c r="B188" s="62" t="s">
        <v>116</v>
      </c>
      <c r="C188" s="89">
        <v>220</v>
      </c>
      <c r="D188" s="89">
        <v>150</v>
      </c>
      <c r="E188" s="89">
        <v>120</v>
      </c>
      <c r="F188" s="289"/>
      <c r="G188" s="62" t="s">
        <v>116</v>
      </c>
      <c r="H188" s="89">
        <v>343</v>
      </c>
      <c r="I188" s="89">
        <f>H188*68%</f>
        <v>233.24</v>
      </c>
      <c r="J188" s="89">
        <f>H188*55%</f>
        <v>188.65</v>
      </c>
      <c r="K188" s="76">
        <f t="shared" si="16"/>
        <v>55.909090909090907</v>
      </c>
      <c r="L188" s="92">
        <f t="shared" si="16"/>
        <v>55.493333333333339</v>
      </c>
      <c r="M188" s="93">
        <f t="shared" si="16"/>
        <v>57.208333333333314</v>
      </c>
      <c r="N188" s="99" t="s">
        <v>309</v>
      </c>
      <c r="O188" s="66"/>
      <c r="P188" s="66"/>
      <c r="Q188" s="66">
        <f t="shared" si="22"/>
        <v>68.181818181818173</v>
      </c>
      <c r="R188" s="66">
        <f t="shared" si="23"/>
        <v>54.54545454545454</v>
      </c>
      <c r="S188" s="66"/>
      <c r="V188" s="14"/>
      <c r="W188" s="14">
        <f t="shared" si="18"/>
        <v>1.5590909090909091</v>
      </c>
    </row>
    <row r="189" spans="1:23" ht="48" customHeight="1" x14ac:dyDescent="0.25">
      <c r="A189" s="289"/>
      <c r="B189" s="62" t="s">
        <v>118</v>
      </c>
      <c r="C189" s="89">
        <v>200</v>
      </c>
      <c r="D189" s="89">
        <v>130</v>
      </c>
      <c r="E189" s="89">
        <v>100</v>
      </c>
      <c r="F189" s="289"/>
      <c r="G189" s="62" t="s">
        <v>118</v>
      </c>
      <c r="H189" s="89">
        <v>310</v>
      </c>
      <c r="I189" s="89">
        <f>H189*65%</f>
        <v>201.5</v>
      </c>
      <c r="J189" s="89">
        <f>H189*50%</f>
        <v>155</v>
      </c>
      <c r="K189" s="76">
        <f t="shared" si="16"/>
        <v>55</v>
      </c>
      <c r="L189" s="92">
        <f t="shared" si="16"/>
        <v>55</v>
      </c>
      <c r="M189" s="93">
        <f t="shared" si="16"/>
        <v>55</v>
      </c>
      <c r="N189" s="65" t="s">
        <v>102</v>
      </c>
      <c r="O189" s="66"/>
      <c r="P189" s="66"/>
      <c r="Q189" s="66">
        <f t="shared" si="22"/>
        <v>65</v>
      </c>
      <c r="R189" s="66">
        <f t="shared" si="23"/>
        <v>50</v>
      </c>
      <c r="S189" s="66"/>
      <c r="V189" s="14"/>
      <c r="W189" s="14">
        <f t="shared" si="18"/>
        <v>1.55</v>
      </c>
    </row>
    <row r="190" spans="1:23" ht="33" x14ac:dyDescent="0.25">
      <c r="A190" s="65" t="s">
        <v>310</v>
      </c>
      <c r="B190" s="62" t="s">
        <v>53</v>
      </c>
      <c r="C190" s="89">
        <v>120</v>
      </c>
      <c r="D190" s="89">
        <v>100</v>
      </c>
      <c r="E190" s="89">
        <v>90</v>
      </c>
      <c r="F190" s="65" t="s">
        <v>310</v>
      </c>
      <c r="G190" s="62" t="s">
        <v>53</v>
      </c>
      <c r="H190" s="89">
        <f>C190*1.1</f>
        <v>132</v>
      </c>
      <c r="I190" s="89">
        <f>D190*1.1</f>
        <v>110.00000000000001</v>
      </c>
      <c r="J190" s="89">
        <f>E190*1.1</f>
        <v>99.000000000000014</v>
      </c>
      <c r="K190" s="76">
        <f t="shared" si="16"/>
        <v>10.000000000000014</v>
      </c>
      <c r="L190" s="92">
        <f t="shared" si="16"/>
        <v>10.000000000000014</v>
      </c>
      <c r="M190" s="93">
        <f t="shared" si="16"/>
        <v>10.000000000000014</v>
      </c>
      <c r="N190" s="65" t="s">
        <v>102</v>
      </c>
      <c r="O190" s="66"/>
      <c r="P190" s="66"/>
      <c r="Q190" s="66"/>
      <c r="R190" s="66"/>
      <c r="S190" s="66"/>
      <c r="V190" s="14"/>
      <c r="W190" s="14">
        <f t="shared" si="18"/>
        <v>1.1000000000000001</v>
      </c>
    </row>
    <row r="191" spans="1:23" s="16" customFormat="1" ht="16.5" x14ac:dyDescent="0.25">
      <c r="A191" s="82" t="s">
        <v>54</v>
      </c>
      <c r="B191" s="69" t="s">
        <v>311</v>
      </c>
      <c r="C191" s="112"/>
      <c r="D191" s="112"/>
      <c r="E191" s="112"/>
      <c r="F191" s="82" t="s">
        <v>54</v>
      </c>
      <c r="G191" s="69" t="s">
        <v>311</v>
      </c>
      <c r="H191" s="112"/>
      <c r="I191" s="112"/>
      <c r="J191" s="112"/>
      <c r="K191" s="76"/>
      <c r="L191" s="92"/>
      <c r="M191" s="93"/>
      <c r="N191" s="82"/>
      <c r="O191" s="83"/>
      <c r="P191" s="83"/>
      <c r="Q191" s="83"/>
      <c r="R191" s="83"/>
      <c r="S191" s="83"/>
      <c r="V191" s="14"/>
      <c r="W191" s="14" t="e">
        <f t="shared" si="18"/>
        <v>#DIV/0!</v>
      </c>
    </row>
    <row r="192" spans="1:23" ht="16.5" x14ac:dyDescent="0.25">
      <c r="A192" s="82">
        <v>1</v>
      </c>
      <c r="B192" s="69" t="s">
        <v>312</v>
      </c>
      <c r="C192" s="89"/>
      <c r="D192" s="89"/>
      <c r="E192" s="89"/>
      <c r="F192" s="82">
        <v>1</v>
      </c>
      <c r="G192" s="69" t="s">
        <v>312</v>
      </c>
      <c r="H192" s="89"/>
      <c r="I192" s="89"/>
      <c r="J192" s="89"/>
      <c r="K192" s="76"/>
      <c r="L192" s="92"/>
      <c r="M192" s="93"/>
      <c r="N192" s="65"/>
      <c r="O192" s="66"/>
      <c r="P192" s="66"/>
      <c r="Q192" s="66"/>
      <c r="R192" s="66"/>
      <c r="S192" s="66"/>
      <c r="V192" s="14"/>
      <c r="W192" s="14" t="e">
        <f t="shared" si="18"/>
        <v>#DIV/0!</v>
      </c>
    </row>
    <row r="193" spans="1:23" s="18" customFormat="1" ht="49.5" x14ac:dyDescent="0.25">
      <c r="A193" s="65" t="s">
        <v>12</v>
      </c>
      <c r="B193" s="62" t="s">
        <v>1251</v>
      </c>
      <c r="C193" s="89">
        <v>180</v>
      </c>
      <c r="D193" s="89">
        <v>120</v>
      </c>
      <c r="E193" s="89">
        <v>90</v>
      </c>
      <c r="F193" s="65" t="s">
        <v>12</v>
      </c>
      <c r="G193" s="62" t="s">
        <v>1251</v>
      </c>
      <c r="H193" s="89">
        <v>420</v>
      </c>
      <c r="I193" s="89">
        <f>D193*2.3</f>
        <v>276</v>
      </c>
      <c r="J193" s="89">
        <f>E193*2.3</f>
        <v>206.99999999999997</v>
      </c>
      <c r="K193" s="76">
        <f t="shared" ref="K193:M208" si="24">(H193/C193)*100-100</f>
        <v>133.33333333333334</v>
      </c>
      <c r="L193" s="92">
        <f t="shared" si="24"/>
        <v>129.99999999999997</v>
      </c>
      <c r="M193" s="93">
        <f t="shared" si="24"/>
        <v>129.99999999999997</v>
      </c>
      <c r="N193" s="65" t="s">
        <v>102</v>
      </c>
      <c r="O193" s="100">
        <f>H193/C193</f>
        <v>2.3333333333333335</v>
      </c>
      <c r="P193" s="66"/>
      <c r="Q193" s="66"/>
      <c r="R193" s="66"/>
      <c r="S193" s="66"/>
      <c r="V193" s="19"/>
      <c r="W193" s="19">
        <f t="shared" si="18"/>
        <v>2.3333333333333335</v>
      </c>
    </row>
    <row r="194" spans="1:23" s="18" customFormat="1" ht="49.5" x14ac:dyDescent="0.25">
      <c r="A194" s="65" t="s">
        <v>14</v>
      </c>
      <c r="B194" s="62" t="s">
        <v>1252</v>
      </c>
      <c r="C194" s="89">
        <v>550</v>
      </c>
      <c r="D194" s="89">
        <v>280</v>
      </c>
      <c r="E194" s="89">
        <v>220</v>
      </c>
      <c r="F194" s="65" t="s">
        <v>14</v>
      </c>
      <c r="G194" s="62" t="s">
        <v>1253</v>
      </c>
      <c r="H194" s="89">
        <v>1100</v>
      </c>
      <c r="I194" s="89">
        <f>D194*2</f>
        <v>560</v>
      </c>
      <c r="J194" s="89">
        <f>E194*2</f>
        <v>440</v>
      </c>
      <c r="K194" s="76">
        <f t="shared" si="24"/>
        <v>100</v>
      </c>
      <c r="L194" s="92">
        <f t="shared" si="24"/>
        <v>100</v>
      </c>
      <c r="M194" s="93">
        <f t="shared" si="24"/>
        <v>100</v>
      </c>
      <c r="N194" s="99" t="s">
        <v>1035</v>
      </c>
      <c r="O194" s="100">
        <f>H194/C194</f>
        <v>2</v>
      </c>
      <c r="P194" s="66"/>
      <c r="Q194" s="66">
        <f>D194/C194*100</f>
        <v>50.909090909090907</v>
      </c>
      <c r="R194" s="66">
        <f>E194/C194*100</f>
        <v>40</v>
      </c>
      <c r="S194" s="66"/>
      <c r="V194" s="19"/>
      <c r="W194" s="19">
        <f t="shared" si="18"/>
        <v>2</v>
      </c>
    </row>
    <row r="195" spans="1:23" s="18" customFormat="1" ht="66" x14ac:dyDescent="0.25">
      <c r="A195" s="65" t="s">
        <v>99</v>
      </c>
      <c r="B195" s="62" t="s">
        <v>1254</v>
      </c>
      <c r="C195" s="89">
        <v>200</v>
      </c>
      <c r="D195" s="89">
        <v>140</v>
      </c>
      <c r="E195" s="89">
        <v>90</v>
      </c>
      <c r="F195" s="65" t="s">
        <v>99</v>
      </c>
      <c r="G195" s="62" t="s">
        <v>1254</v>
      </c>
      <c r="H195" s="89">
        <v>630</v>
      </c>
      <c r="I195" s="89">
        <f>D195*3.15</f>
        <v>441</v>
      </c>
      <c r="J195" s="89">
        <f>E195*3.15</f>
        <v>283.5</v>
      </c>
      <c r="K195" s="76">
        <f t="shared" si="24"/>
        <v>215</v>
      </c>
      <c r="L195" s="76">
        <f t="shared" si="24"/>
        <v>215</v>
      </c>
      <c r="M195" s="89">
        <f t="shared" si="24"/>
        <v>215</v>
      </c>
      <c r="N195" s="65" t="s">
        <v>102</v>
      </c>
      <c r="O195" s="94">
        <f>H195/C195</f>
        <v>3.15</v>
      </c>
      <c r="P195" s="66"/>
      <c r="Q195" s="66">
        <f>D195/C195*100</f>
        <v>70</v>
      </c>
      <c r="R195" s="66">
        <f>E195/C195*100</f>
        <v>45</v>
      </c>
      <c r="S195" s="66"/>
      <c r="V195" s="19"/>
      <c r="W195" s="19">
        <f t="shared" si="18"/>
        <v>3.15</v>
      </c>
    </row>
    <row r="196" spans="1:23" s="18" customFormat="1" ht="47.25" customHeight="1" x14ac:dyDescent="0.25">
      <c r="A196" s="65" t="s">
        <v>100</v>
      </c>
      <c r="B196" s="62" t="s">
        <v>1255</v>
      </c>
      <c r="C196" s="89">
        <v>150</v>
      </c>
      <c r="D196" s="89">
        <v>120</v>
      </c>
      <c r="E196" s="89">
        <v>90</v>
      </c>
      <c r="F196" s="65" t="s">
        <v>100</v>
      </c>
      <c r="G196" s="62" t="s">
        <v>1255</v>
      </c>
      <c r="H196" s="89">
        <v>330</v>
      </c>
      <c r="I196" s="89">
        <f>D196*2.2</f>
        <v>264</v>
      </c>
      <c r="J196" s="89">
        <f>E196*2.2</f>
        <v>198.00000000000003</v>
      </c>
      <c r="K196" s="76">
        <f t="shared" si="24"/>
        <v>120.00000000000003</v>
      </c>
      <c r="L196" s="92">
        <f t="shared" si="24"/>
        <v>120.00000000000003</v>
      </c>
      <c r="M196" s="93">
        <f t="shared" si="24"/>
        <v>120.00000000000003</v>
      </c>
      <c r="N196" s="65" t="s">
        <v>102</v>
      </c>
      <c r="O196" s="66">
        <f>H196/C196</f>
        <v>2.2000000000000002</v>
      </c>
      <c r="P196" s="66"/>
      <c r="Q196" s="66"/>
      <c r="R196" s="66"/>
      <c r="S196" s="66"/>
      <c r="V196" s="19"/>
      <c r="W196" s="19">
        <f t="shared" si="18"/>
        <v>2.2000000000000002</v>
      </c>
    </row>
    <row r="197" spans="1:23" s="18" customFormat="1" ht="49.5" x14ac:dyDescent="0.25">
      <c r="A197" s="65" t="s">
        <v>101</v>
      </c>
      <c r="B197" s="69" t="s">
        <v>1256</v>
      </c>
      <c r="C197" s="89">
        <v>240</v>
      </c>
      <c r="D197" s="89">
        <v>160</v>
      </c>
      <c r="E197" s="89">
        <v>120</v>
      </c>
      <c r="F197" s="65" t="s">
        <v>101</v>
      </c>
      <c r="G197" s="69" t="s">
        <v>1256</v>
      </c>
      <c r="H197" s="89">
        <f t="shared" ref="H197:J200" si="25">C197*1.1</f>
        <v>264</v>
      </c>
      <c r="I197" s="89">
        <f t="shared" si="25"/>
        <v>176</v>
      </c>
      <c r="J197" s="89">
        <f t="shared" si="25"/>
        <v>132</v>
      </c>
      <c r="K197" s="76">
        <f t="shared" si="24"/>
        <v>10.000000000000014</v>
      </c>
      <c r="L197" s="92">
        <f t="shared" si="24"/>
        <v>10.000000000000014</v>
      </c>
      <c r="M197" s="93">
        <f t="shared" si="24"/>
        <v>10.000000000000014</v>
      </c>
      <c r="N197" s="65" t="s">
        <v>102</v>
      </c>
      <c r="O197" s="66"/>
      <c r="P197" s="100">
        <f>H197/C197</f>
        <v>1.1000000000000001</v>
      </c>
      <c r="Q197" s="66"/>
      <c r="R197" s="66"/>
      <c r="S197" s="66"/>
      <c r="V197" s="19"/>
      <c r="W197" s="19">
        <f t="shared" si="18"/>
        <v>1.1000000000000001</v>
      </c>
    </row>
    <row r="198" spans="1:23" s="18" customFormat="1" ht="49.5" x14ac:dyDescent="0.25">
      <c r="A198" s="65" t="s">
        <v>103</v>
      </c>
      <c r="B198" s="69" t="s">
        <v>1257</v>
      </c>
      <c r="C198" s="89">
        <v>150</v>
      </c>
      <c r="D198" s="89">
        <v>110</v>
      </c>
      <c r="E198" s="89">
        <v>90</v>
      </c>
      <c r="F198" s="65" t="s">
        <v>103</v>
      </c>
      <c r="G198" s="69" t="s">
        <v>1257</v>
      </c>
      <c r="H198" s="89">
        <v>166</v>
      </c>
      <c r="I198" s="89">
        <f>D198*1.11</f>
        <v>122.10000000000001</v>
      </c>
      <c r="J198" s="89">
        <f>E198*1.11</f>
        <v>99.9</v>
      </c>
      <c r="K198" s="76">
        <f t="shared" si="24"/>
        <v>10.666666666666671</v>
      </c>
      <c r="L198" s="92">
        <f t="shared" si="24"/>
        <v>11.000000000000014</v>
      </c>
      <c r="M198" s="93">
        <f t="shared" si="24"/>
        <v>11.000000000000014</v>
      </c>
      <c r="N198" s="65" t="s">
        <v>102</v>
      </c>
      <c r="O198" s="66"/>
      <c r="P198" s="94">
        <f>H198/C198</f>
        <v>1.1066666666666667</v>
      </c>
      <c r="Q198" s="66"/>
      <c r="R198" s="66"/>
      <c r="S198" s="66"/>
      <c r="V198" s="19"/>
      <c r="W198" s="19">
        <f t="shared" si="18"/>
        <v>1.1066666666666667</v>
      </c>
    </row>
    <row r="199" spans="1:23" s="18" customFormat="1" ht="49.5" x14ac:dyDescent="0.25">
      <c r="A199" s="65" t="s">
        <v>104</v>
      </c>
      <c r="B199" s="62" t="s">
        <v>51</v>
      </c>
      <c r="C199" s="90">
        <v>120</v>
      </c>
      <c r="D199" s="89">
        <v>100</v>
      </c>
      <c r="E199" s="89">
        <v>90</v>
      </c>
      <c r="F199" s="65" t="s">
        <v>104</v>
      </c>
      <c r="G199" s="62" t="s">
        <v>51</v>
      </c>
      <c r="H199" s="89">
        <v>133</v>
      </c>
      <c r="I199" s="89">
        <f>D199*1.11</f>
        <v>111.00000000000001</v>
      </c>
      <c r="J199" s="89">
        <f>E199*1.11</f>
        <v>99.9</v>
      </c>
      <c r="K199" s="76">
        <f t="shared" si="24"/>
        <v>10.833333333333343</v>
      </c>
      <c r="L199" s="92">
        <f t="shared" si="24"/>
        <v>11.000000000000014</v>
      </c>
      <c r="M199" s="93">
        <f t="shared" si="24"/>
        <v>11.000000000000014</v>
      </c>
      <c r="N199" s="65" t="s">
        <v>102</v>
      </c>
      <c r="O199" s="66"/>
      <c r="P199" s="94">
        <f>H199/C199</f>
        <v>1.1083333333333334</v>
      </c>
      <c r="Q199" s="66"/>
      <c r="R199" s="66"/>
      <c r="S199" s="66"/>
      <c r="V199" s="19"/>
      <c r="W199" s="19">
        <f t="shared" ref="W199:W262" si="26">H199/C199</f>
        <v>1.1083333333333334</v>
      </c>
    </row>
    <row r="200" spans="1:23" s="18" customFormat="1" ht="21.75" customHeight="1" x14ac:dyDescent="0.25">
      <c r="A200" s="65" t="s">
        <v>106</v>
      </c>
      <c r="B200" s="62" t="s">
        <v>53</v>
      </c>
      <c r="C200" s="89">
        <v>90</v>
      </c>
      <c r="D200" s="89">
        <v>85</v>
      </c>
      <c r="E200" s="89">
        <v>80</v>
      </c>
      <c r="F200" s="65" t="s">
        <v>106</v>
      </c>
      <c r="G200" s="62" t="s">
        <v>53</v>
      </c>
      <c r="H200" s="89">
        <f t="shared" si="25"/>
        <v>99.000000000000014</v>
      </c>
      <c r="I200" s="89">
        <f t="shared" si="25"/>
        <v>93.500000000000014</v>
      </c>
      <c r="J200" s="89">
        <f t="shared" si="25"/>
        <v>88</v>
      </c>
      <c r="K200" s="76">
        <f t="shared" si="24"/>
        <v>10.000000000000014</v>
      </c>
      <c r="L200" s="92">
        <f t="shared" si="24"/>
        <v>10.000000000000014</v>
      </c>
      <c r="M200" s="93">
        <f t="shared" si="24"/>
        <v>10.000000000000014</v>
      </c>
      <c r="N200" s="65" t="s">
        <v>102</v>
      </c>
      <c r="O200" s="66"/>
      <c r="P200" s="66"/>
      <c r="Q200" s="66"/>
      <c r="R200" s="66"/>
      <c r="S200" s="66"/>
      <c r="V200" s="19"/>
      <c r="W200" s="19">
        <f t="shared" si="26"/>
        <v>1.1000000000000001</v>
      </c>
    </row>
    <row r="201" spans="1:23" ht="22.5" customHeight="1" x14ac:dyDescent="0.25">
      <c r="A201" s="82">
        <v>2</v>
      </c>
      <c r="B201" s="69" t="s">
        <v>313</v>
      </c>
      <c r="C201" s="89"/>
      <c r="D201" s="89"/>
      <c r="E201" s="89"/>
      <c r="F201" s="82">
        <v>2</v>
      </c>
      <c r="G201" s="69" t="s">
        <v>313</v>
      </c>
      <c r="H201" s="89"/>
      <c r="I201" s="89"/>
      <c r="J201" s="89"/>
      <c r="K201" s="76"/>
      <c r="L201" s="92"/>
      <c r="M201" s="93"/>
      <c r="N201" s="65"/>
      <c r="O201" s="66"/>
      <c r="P201" s="66"/>
      <c r="Q201" s="66"/>
      <c r="R201" s="66"/>
      <c r="S201" s="66"/>
      <c r="V201" s="14"/>
      <c r="W201" s="14" t="e">
        <f t="shared" si="26"/>
        <v>#DIV/0!</v>
      </c>
    </row>
    <row r="202" spans="1:23" s="18" customFormat="1" ht="47.25" customHeight="1" x14ac:dyDescent="0.25">
      <c r="A202" s="65" t="s">
        <v>134</v>
      </c>
      <c r="B202" s="69" t="s">
        <v>1258</v>
      </c>
      <c r="C202" s="89">
        <v>120</v>
      </c>
      <c r="D202" s="89">
        <v>100</v>
      </c>
      <c r="E202" s="89">
        <v>80</v>
      </c>
      <c r="F202" s="65" t="s">
        <v>134</v>
      </c>
      <c r="G202" s="69" t="s">
        <v>1258</v>
      </c>
      <c r="H202" s="89">
        <v>138</v>
      </c>
      <c r="I202" s="89">
        <f>D202*1.15</f>
        <v>114.99999999999999</v>
      </c>
      <c r="J202" s="89">
        <f>E202*1.15</f>
        <v>92</v>
      </c>
      <c r="K202" s="76">
        <f t="shared" si="24"/>
        <v>14.999999999999986</v>
      </c>
      <c r="L202" s="92">
        <f t="shared" si="24"/>
        <v>14.999999999999986</v>
      </c>
      <c r="M202" s="93">
        <f t="shared" si="24"/>
        <v>14.999999999999986</v>
      </c>
      <c r="N202" s="65" t="s">
        <v>102</v>
      </c>
      <c r="O202" s="66"/>
      <c r="P202" s="94">
        <f>H202/C202</f>
        <v>1.1499999999999999</v>
      </c>
      <c r="Q202" s="66"/>
      <c r="R202" s="66"/>
      <c r="S202" s="66"/>
      <c r="V202" s="19"/>
      <c r="W202" s="19">
        <f t="shared" si="26"/>
        <v>1.1499999999999999</v>
      </c>
    </row>
    <row r="203" spans="1:23" s="18" customFormat="1" ht="57" customHeight="1" x14ac:dyDescent="0.25">
      <c r="A203" s="65" t="s">
        <v>29</v>
      </c>
      <c r="B203" s="69" t="s">
        <v>1259</v>
      </c>
      <c r="C203" s="89">
        <v>150</v>
      </c>
      <c r="D203" s="89">
        <v>120</v>
      </c>
      <c r="E203" s="89">
        <v>90</v>
      </c>
      <c r="F203" s="65" t="s">
        <v>29</v>
      </c>
      <c r="G203" s="69" t="s">
        <v>1259</v>
      </c>
      <c r="H203" s="89">
        <v>166</v>
      </c>
      <c r="I203" s="89">
        <f>D203*1.11</f>
        <v>133.20000000000002</v>
      </c>
      <c r="J203" s="89">
        <f>E203*1.11</f>
        <v>99.9</v>
      </c>
      <c r="K203" s="76">
        <f t="shared" si="24"/>
        <v>10.666666666666671</v>
      </c>
      <c r="L203" s="92">
        <f t="shared" si="24"/>
        <v>11.000000000000014</v>
      </c>
      <c r="M203" s="93">
        <f t="shared" si="24"/>
        <v>11.000000000000014</v>
      </c>
      <c r="N203" s="65" t="s">
        <v>102</v>
      </c>
      <c r="O203" s="66"/>
      <c r="P203" s="94">
        <f>H203/C203</f>
        <v>1.1066666666666667</v>
      </c>
      <c r="Q203" s="66"/>
      <c r="R203" s="66"/>
      <c r="S203" s="66"/>
      <c r="V203" s="19"/>
      <c r="W203" s="19">
        <f t="shared" si="26"/>
        <v>1.1066666666666667</v>
      </c>
    </row>
    <row r="204" spans="1:23" s="18" customFormat="1" ht="48" customHeight="1" x14ac:dyDescent="0.25">
      <c r="A204" s="65" t="s">
        <v>138</v>
      </c>
      <c r="B204" s="69" t="s">
        <v>1260</v>
      </c>
      <c r="C204" s="89">
        <v>120</v>
      </c>
      <c r="D204" s="89">
        <v>100</v>
      </c>
      <c r="E204" s="89">
        <v>80</v>
      </c>
      <c r="F204" s="65" t="s">
        <v>138</v>
      </c>
      <c r="G204" s="69" t="s">
        <v>1260</v>
      </c>
      <c r="H204" s="89">
        <v>138</v>
      </c>
      <c r="I204" s="89">
        <f>D204*1.15</f>
        <v>114.99999999999999</v>
      </c>
      <c r="J204" s="89">
        <f>E204*1.15</f>
        <v>92</v>
      </c>
      <c r="K204" s="76">
        <f t="shared" si="24"/>
        <v>14.999999999999986</v>
      </c>
      <c r="L204" s="92">
        <f t="shared" si="24"/>
        <v>14.999999999999986</v>
      </c>
      <c r="M204" s="93">
        <f t="shared" si="24"/>
        <v>14.999999999999986</v>
      </c>
      <c r="N204" s="65" t="s">
        <v>102</v>
      </c>
      <c r="O204" s="66"/>
      <c r="P204" s="66">
        <f>H204/C204</f>
        <v>1.1499999999999999</v>
      </c>
      <c r="Q204" s="66"/>
      <c r="R204" s="66"/>
      <c r="S204" s="66"/>
      <c r="V204" s="19"/>
      <c r="W204" s="19">
        <f t="shared" si="26"/>
        <v>1.1499999999999999</v>
      </c>
    </row>
    <row r="205" spans="1:23" s="18" customFormat="1" ht="65.25" customHeight="1" x14ac:dyDescent="0.25">
      <c r="A205" s="65" t="s">
        <v>139</v>
      </c>
      <c r="B205" s="62" t="s">
        <v>314</v>
      </c>
      <c r="C205" s="89">
        <v>100</v>
      </c>
      <c r="D205" s="89">
        <v>90</v>
      </c>
      <c r="E205" s="89">
        <v>80</v>
      </c>
      <c r="F205" s="65" t="s">
        <v>139</v>
      </c>
      <c r="G205" s="62" t="s">
        <v>314</v>
      </c>
      <c r="H205" s="89">
        <f t="shared" ref="H205:J205" si="27">C205*1.1</f>
        <v>110.00000000000001</v>
      </c>
      <c r="I205" s="89">
        <f t="shared" si="27"/>
        <v>99.000000000000014</v>
      </c>
      <c r="J205" s="89">
        <f t="shared" si="27"/>
        <v>88</v>
      </c>
      <c r="K205" s="76">
        <f t="shared" si="24"/>
        <v>10.000000000000014</v>
      </c>
      <c r="L205" s="92">
        <f t="shared" si="24"/>
        <v>10.000000000000014</v>
      </c>
      <c r="M205" s="93">
        <f t="shared" si="24"/>
        <v>10.000000000000014</v>
      </c>
      <c r="N205" s="65" t="s">
        <v>102</v>
      </c>
      <c r="O205" s="66"/>
      <c r="P205" s="66"/>
      <c r="Q205" s="66"/>
      <c r="R205" s="66"/>
      <c r="S205" s="66"/>
      <c r="V205" s="19"/>
      <c r="W205" s="19">
        <f t="shared" si="26"/>
        <v>1.1000000000000001</v>
      </c>
    </row>
    <row r="206" spans="1:23" s="18" customFormat="1" ht="16.5" x14ac:dyDescent="0.25">
      <c r="A206" s="65" t="s">
        <v>140</v>
      </c>
      <c r="B206" s="62" t="s">
        <v>53</v>
      </c>
      <c r="C206" s="283">
        <v>80</v>
      </c>
      <c r="D206" s="283"/>
      <c r="E206" s="283"/>
      <c r="F206" s="65" t="s">
        <v>140</v>
      </c>
      <c r="G206" s="62" t="s">
        <v>53</v>
      </c>
      <c r="H206" s="283">
        <f>C206*1.1</f>
        <v>88</v>
      </c>
      <c r="I206" s="283"/>
      <c r="J206" s="283"/>
      <c r="K206" s="284">
        <f t="shared" si="24"/>
        <v>10.000000000000014</v>
      </c>
      <c r="L206" s="285"/>
      <c r="M206" s="286"/>
      <c r="N206" s="65" t="s">
        <v>102</v>
      </c>
      <c r="O206" s="66"/>
      <c r="P206" s="66"/>
      <c r="Q206" s="66"/>
      <c r="R206" s="66"/>
      <c r="S206" s="66"/>
      <c r="V206" s="19"/>
      <c r="W206" s="19">
        <f t="shared" si="26"/>
        <v>1.1000000000000001</v>
      </c>
    </row>
    <row r="207" spans="1:23" ht="16.5" x14ac:dyDescent="0.25">
      <c r="A207" s="82">
        <v>3</v>
      </c>
      <c r="B207" s="69" t="s">
        <v>315</v>
      </c>
      <c r="C207" s="89"/>
      <c r="D207" s="89"/>
      <c r="E207" s="89"/>
      <c r="F207" s="82">
        <v>3</v>
      </c>
      <c r="G207" s="69" t="s">
        <v>315</v>
      </c>
      <c r="H207" s="89"/>
      <c r="I207" s="89"/>
      <c r="J207" s="89"/>
      <c r="K207" s="76"/>
      <c r="L207" s="92"/>
      <c r="M207" s="93"/>
      <c r="N207" s="65"/>
      <c r="O207" s="66"/>
      <c r="P207" s="66"/>
      <c r="Q207" s="66"/>
      <c r="R207" s="66"/>
      <c r="S207" s="66"/>
      <c r="V207" s="14"/>
      <c r="W207" s="14" t="e">
        <f t="shared" si="26"/>
        <v>#DIV/0!</v>
      </c>
    </row>
    <row r="208" spans="1:23" s="18" customFormat="1" ht="54" customHeight="1" x14ac:dyDescent="0.25">
      <c r="A208" s="65" t="s">
        <v>41</v>
      </c>
      <c r="B208" s="69" t="s">
        <v>1261</v>
      </c>
      <c r="C208" s="89">
        <v>150</v>
      </c>
      <c r="D208" s="89">
        <v>120</v>
      </c>
      <c r="E208" s="89">
        <v>90</v>
      </c>
      <c r="F208" s="65" t="s">
        <v>41</v>
      </c>
      <c r="G208" s="69" t="s">
        <v>1261</v>
      </c>
      <c r="H208" s="89">
        <v>166</v>
      </c>
      <c r="I208" s="89">
        <f>D208*1.11</f>
        <v>133.20000000000002</v>
      </c>
      <c r="J208" s="89">
        <f>E208*1.11</f>
        <v>99.9</v>
      </c>
      <c r="K208" s="76">
        <f t="shared" si="24"/>
        <v>10.666666666666671</v>
      </c>
      <c r="L208" s="92">
        <f t="shared" si="24"/>
        <v>11.000000000000014</v>
      </c>
      <c r="M208" s="93">
        <f t="shared" si="24"/>
        <v>11.000000000000014</v>
      </c>
      <c r="N208" s="65" t="s">
        <v>102</v>
      </c>
      <c r="O208" s="66"/>
      <c r="P208" s="94">
        <f>H208/C208</f>
        <v>1.1066666666666667</v>
      </c>
      <c r="Q208" s="66"/>
      <c r="R208" s="66"/>
      <c r="S208" s="66"/>
      <c r="V208" s="19"/>
      <c r="W208" s="19">
        <f t="shared" si="26"/>
        <v>1.1066666666666667</v>
      </c>
    </row>
    <row r="209" spans="1:23" s="18" customFormat="1" ht="57.75" customHeight="1" x14ac:dyDescent="0.25">
      <c r="A209" s="65" t="s">
        <v>42</v>
      </c>
      <c r="B209" s="69" t="s">
        <v>1262</v>
      </c>
      <c r="C209" s="89">
        <v>300</v>
      </c>
      <c r="D209" s="89">
        <v>180</v>
      </c>
      <c r="E209" s="89">
        <v>140</v>
      </c>
      <c r="F209" s="65" t="s">
        <v>42</v>
      </c>
      <c r="G209" s="69" t="s">
        <v>1262</v>
      </c>
      <c r="H209" s="89">
        <v>330</v>
      </c>
      <c r="I209" s="89">
        <f t="shared" ref="I209:J209" si="28">D209*1.1</f>
        <v>198.00000000000003</v>
      </c>
      <c r="J209" s="89">
        <f t="shared" si="28"/>
        <v>154</v>
      </c>
      <c r="K209" s="76">
        <f t="shared" ref="K209:M258" si="29">(H209/C209)*100-100</f>
        <v>10.000000000000014</v>
      </c>
      <c r="L209" s="92">
        <f t="shared" si="29"/>
        <v>10.000000000000014</v>
      </c>
      <c r="M209" s="93">
        <f t="shared" si="29"/>
        <v>10.000000000000014</v>
      </c>
      <c r="N209" s="65" t="s">
        <v>102</v>
      </c>
      <c r="O209" s="66">
        <f>H209/C209</f>
        <v>1.1000000000000001</v>
      </c>
      <c r="P209" s="66"/>
      <c r="Q209" s="66"/>
      <c r="R209" s="66"/>
      <c r="S209" s="66"/>
      <c r="V209" s="19"/>
      <c r="W209" s="19">
        <f t="shared" si="26"/>
        <v>1.1000000000000001</v>
      </c>
    </row>
    <row r="210" spans="1:23" s="18" customFormat="1" ht="53.25" customHeight="1" x14ac:dyDescent="0.25">
      <c r="A210" s="65" t="s">
        <v>43</v>
      </c>
      <c r="B210" s="69" t="s">
        <v>1263</v>
      </c>
      <c r="C210" s="89">
        <v>150</v>
      </c>
      <c r="D210" s="89">
        <v>120</v>
      </c>
      <c r="E210" s="89">
        <v>90</v>
      </c>
      <c r="F210" s="65" t="s">
        <v>43</v>
      </c>
      <c r="G210" s="69" t="s">
        <v>1263</v>
      </c>
      <c r="H210" s="89">
        <v>166</v>
      </c>
      <c r="I210" s="89">
        <f t="shared" ref="I210:J212" si="30">D210*1.11</f>
        <v>133.20000000000002</v>
      </c>
      <c r="J210" s="89">
        <f t="shared" si="30"/>
        <v>99.9</v>
      </c>
      <c r="K210" s="76">
        <f t="shared" si="29"/>
        <v>10.666666666666671</v>
      </c>
      <c r="L210" s="76">
        <f t="shared" si="29"/>
        <v>11.000000000000014</v>
      </c>
      <c r="M210" s="89">
        <f t="shared" si="29"/>
        <v>11.000000000000014</v>
      </c>
      <c r="N210" s="65" t="s">
        <v>102</v>
      </c>
      <c r="O210" s="66"/>
      <c r="P210" s="94">
        <f>H210/C210</f>
        <v>1.1066666666666667</v>
      </c>
      <c r="Q210" s="66"/>
      <c r="R210" s="66"/>
      <c r="S210" s="66"/>
      <c r="V210" s="19"/>
      <c r="W210" s="19">
        <f t="shared" si="26"/>
        <v>1.1066666666666667</v>
      </c>
    </row>
    <row r="211" spans="1:23" s="18" customFormat="1" ht="44.25" customHeight="1" x14ac:dyDescent="0.25">
      <c r="A211" s="65" t="s">
        <v>45</v>
      </c>
      <c r="B211" s="69" t="s">
        <v>1264</v>
      </c>
      <c r="C211" s="89">
        <v>250</v>
      </c>
      <c r="D211" s="89">
        <v>160</v>
      </c>
      <c r="E211" s="89">
        <v>120</v>
      </c>
      <c r="F211" s="65" t="s">
        <v>45</v>
      </c>
      <c r="G211" s="69" t="s">
        <v>1264</v>
      </c>
      <c r="H211" s="89">
        <v>277</v>
      </c>
      <c r="I211" s="89">
        <f t="shared" si="30"/>
        <v>177.60000000000002</v>
      </c>
      <c r="J211" s="89">
        <f t="shared" si="30"/>
        <v>133.20000000000002</v>
      </c>
      <c r="K211" s="76">
        <f t="shared" si="29"/>
        <v>10.800000000000011</v>
      </c>
      <c r="L211" s="92">
        <f t="shared" si="29"/>
        <v>11.000000000000014</v>
      </c>
      <c r="M211" s="93">
        <f t="shared" si="29"/>
        <v>11.000000000000014</v>
      </c>
      <c r="N211" s="65" t="s">
        <v>102</v>
      </c>
      <c r="O211" s="66"/>
      <c r="P211" s="94">
        <f>H211/C211</f>
        <v>1.1080000000000001</v>
      </c>
      <c r="Q211" s="66"/>
      <c r="R211" s="66"/>
      <c r="S211" s="66"/>
      <c r="V211" s="19"/>
      <c r="W211" s="19">
        <f t="shared" si="26"/>
        <v>1.1080000000000001</v>
      </c>
    </row>
    <row r="212" spans="1:23" s="18" customFormat="1" ht="49.5" x14ac:dyDescent="0.25">
      <c r="A212" s="65" t="s">
        <v>47</v>
      </c>
      <c r="B212" s="62" t="s">
        <v>51</v>
      </c>
      <c r="C212" s="89">
        <v>120</v>
      </c>
      <c r="D212" s="89">
        <v>100</v>
      </c>
      <c r="E212" s="89">
        <v>90</v>
      </c>
      <c r="F212" s="65" t="s">
        <v>47</v>
      </c>
      <c r="G212" s="62" t="s">
        <v>51</v>
      </c>
      <c r="H212" s="89">
        <v>133</v>
      </c>
      <c r="I212" s="89">
        <f t="shared" si="30"/>
        <v>111.00000000000001</v>
      </c>
      <c r="J212" s="89">
        <f t="shared" si="30"/>
        <v>99.9</v>
      </c>
      <c r="K212" s="76">
        <f t="shared" si="29"/>
        <v>10.833333333333343</v>
      </c>
      <c r="L212" s="92">
        <f t="shared" si="29"/>
        <v>11.000000000000014</v>
      </c>
      <c r="M212" s="93">
        <f t="shared" si="29"/>
        <v>11.000000000000014</v>
      </c>
      <c r="N212" s="65" t="s">
        <v>102</v>
      </c>
      <c r="O212" s="66"/>
      <c r="P212" s="66">
        <v>1.1100000000000001</v>
      </c>
      <c r="Q212" s="66"/>
      <c r="R212" s="66"/>
      <c r="S212" s="66"/>
      <c r="V212" s="19"/>
      <c r="W212" s="19">
        <f t="shared" si="26"/>
        <v>1.1083333333333334</v>
      </c>
    </row>
    <row r="213" spans="1:23" s="18" customFormat="1" ht="16.5" x14ac:dyDescent="0.25">
      <c r="A213" s="65" t="s">
        <v>48</v>
      </c>
      <c r="B213" s="62" t="s">
        <v>53</v>
      </c>
      <c r="C213" s="283">
        <v>80</v>
      </c>
      <c r="D213" s="283"/>
      <c r="E213" s="283"/>
      <c r="F213" s="65" t="s">
        <v>48</v>
      </c>
      <c r="G213" s="62" t="s">
        <v>53</v>
      </c>
      <c r="H213" s="283">
        <f>C213*1.1</f>
        <v>88</v>
      </c>
      <c r="I213" s="283"/>
      <c r="J213" s="283"/>
      <c r="K213" s="284">
        <f t="shared" si="29"/>
        <v>10.000000000000014</v>
      </c>
      <c r="L213" s="285"/>
      <c r="M213" s="286"/>
      <c r="N213" s="65" t="s">
        <v>102</v>
      </c>
      <c r="O213" s="66"/>
      <c r="P213" s="66"/>
      <c r="Q213" s="66"/>
      <c r="R213" s="66"/>
      <c r="S213" s="66"/>
      <c r="V213" s="19"/>
      <c r="W213" s="19">
        <f t="shared" si="26"/>
        <v>1.1000000000000001</v>
      </c>
    </row>
    <row r="214" spans="1:23" ht="16.5" x14ac:dyDescent="0.25">
      <c r="A214" s="82">
        <v>4</v>
      </c>
      <c r="B214" s="69" t="s">
        <v>316</v>
      </c>
      <c r="C214" s="89"/>
      <c r="D214" s="89"/>
      <c r="E214" s="89"/>
      <c r="F214" s="82">
        <v>4</v>
      </c>
      <c r="G214" s="69" t="s">
        <v>316</v>
      </c>
      <c r="H214" s="89"/>
      <c r="I214" s="89"/>
      <c r="J214" s="89"/>
      <c r="K214" s="76"/>
      <c r="L214" s="92"/>
      <c r="M214" s="93"/>
      <c r="N214" s="65"/>
      <c r="O214" s="66"/>
      <c r="P214" s="66"/>
      <c r="Q214" s="66"/>
      <c r="R214" s="66"/>
      <c r="S214" s="66"/>
      <c r="V214" s="14"/>
      <c r="W214" s="14" t="e">
        <f t="shared" si="26"/>
        <v>#DIV/0!</v>
      </c>
    </row>
    <row r="215" spans="1:23" s="18" customFormat="1" ht="49.5" x14ac:dyDescent="0.25">
      <c r="A215" s="65" t="s">
        <v>17</v>
      </c>
      <c r="B215" s="69" t="s">
        <v>1265</v>
      </c>
      <c r="C215" s="89">
        <v>400</v>
      </c>
      <c r="D215" s="89">
        <v>250</v>
      </c>
      <c r="E215" s="89">
        <v>180</v>
      </c>
      <c r="F215" s="65" t="s">
        <v>17</v>
      </c>
      <c r="G215" s="69" t="s">
        <v>1265</v>
      </c>
      <c r="H215" s="89">
        <v>440</v>
      </c>
      <c r="I215" s="89">
        <f>D215*1.1</f>
        <v>275</v>
      </c>
      <c r="J215" s="89">
        <f>E215*1.1</f>
        <v>198.00000000000003</v>
      </c>
      <c r="K215" s="76">
        <f t="shared" si="29"/>
        <v>10.000000000000014</v>
      </c>
      <c r="L215" s="92">
        <f t="shared" si="29"/>
        <v>10.000000000000014</v>
      </c>
      <c r="M215" s="93">
        <f t="shared" si="29"/>
        <v>10.000000000000014</v>
      </c>
      <c r="N215" s="65" t="s">
        <v>102</v>
      </c>
      <c r="O215" s="66">
        <f>H215/C215</f>
        <v>1.1000000000000001</v>
      </c>
      <c r="P215" s="66"/>
      <c r="Q215" s="66"/>
      <c r="R215" s="66"/>
      <c r="S215" s="66"/>
      <c r="V215" s="19"/>
      <c r="W215" s="19">
        <f t="shared" si="26"/>
        <v>1.1000000000000001</v>
      </c>
    </row>
    <row r="216" spans="1:23" s="18" customFormat="1" ht="49.5" x14ac:dyDescent="0.25">
      <c r="A216" s="65" t="s">
        <v>20</v>
      </c>
      <c r="B216" s="69" t="s">
        <v>1266</v>
      </c>
      <c r="C216" s="89">
        <v>600</v>
      </c>
      <c r="D216" s="89">
        <v>350</v>
      </c>
      <c r="E216" s="89">
        <v>230</v>
      </c>
      <c r="F216" s="65" t="s">
        <v>20</v>
      </c>
      <c r="G216" s="62" t="s">
        <v>1267</v>
      </c>
      <c r="H216" s="89">
        <v>660</v>
      </c>
      <c r="I216" s="89">
        <f>D216*1.1</f>
        <v>385.00000000000006</v>
      </c>
      <c r="J216" s="89">
        <f>E216*1.1</f>
        <v>253.00000000000003</v>
      </c>
      <c r="K216" s="76">
        <f t="shared" si="29"/>
        <v>10.000000000000014</v>
      </c>
      <c r="L216" s="76">
        <f t="shared" si="29"/>
        <v>10.000000000000014</v>
      </c>
      <c r="M216" s="89">
        <f t="shared" si="29"/>
        <v>10.000000000000014</v>
      </c>
      <c r="N216" s="65" t="s">
        <v>102</v>
      </c>
      <c r="O216" s="94">
        <f>H216/C216</f>
        <v>1.1000000000000001</v>
      </c>
      <c r="P216" s="66"/>
      <c r="Q216" s="66">
        <f>D216/C216*100</f>
        <v>58.333333333333336</v>
      </c>
      <c r="R216" s="66">
        <f>E216/C216*100</f>
        <v>38.333333333333336</v>
      </c>
      <c r="S216" s="66"/>
      <c r="V216" s="19"/>
      <c r="W216" s="19">
        <f t="shared" si="26"/>
        <v>1.1000000000000001</v>
      </c>
    </row>
    <row r="217" spans="1:23" s="18" customFormat="1" ht="49.5" x14ac:dyDescent="0.25">
      <c r="A217" s="65"/>
      <c r="B217" s="69"/>
      <c r="C217" s="89"/>
      <c r="D217" s="89"/>
      <c r="E217" s="89"/>
      <c r="F217" s="65" t="s">
        <v>317</v>
      </c>
      <c r="G217" s="69" t="s">
        <v>1268</v>
      </c>
      <c r="H217" s="89">
        <v>370</v>
      </c>
      <c r="I217" s="89">
        <f>H217*58%</f>
        <v>214.6</v>
      </c>
      <c r="J217" s="89">
        <f>H217*38%</f>
        <v>140.6</v>
      </c>
      <c r="K217" s="76"/>
      <c r="L217" s="76"/>
      <c r="M217" s="89"/>
      <c r="N217" s="65" t="s">
        <v>102</v>
      </c>
      <c r="O217" s="66"/>
      <c r="P217" s="66"/>
      <c r="Q217" s="66"/>
      <c r="R217" s="66"/>
      <c r="S217" s="66"/>
      <c r="V217" s="19"/>
      <c r="W217" s="19" t="e">
        <f t="shared" si="26"/>
        <v>#DIV/0!</v>
      </c>
    </row>
    <row r="218" spans="1:23" s="18" customFormat="1" ht="49.5" x14ac:dyDescent="0.25">
      <c r="A218" s="65" t="s">
        <v>57</v>
      </c>
      <c r="B218" s="69" t="s">
        <v>1269</v>
      </c>
      <c r="C218" s="89">
        <v>1000</v>
      </c>
      <c r="D218" s="89">
        <v>550</v>
      </c>
      <c r="E218" s="89">
        <v>350</v>
      </c>
      <c r="F218" s="65" t="s">
        <v>57</v>
      </c>
      <c r="G218" s="69" t="s">
        <v>1269</v>
      </c>
      <c r="H218" s="89">
        <v>1274</v>
      </c>
      <c r="I218" s="89">
        <f>D218*1.27</f>
        <v>698.5</v>
      </c>
      <c r="J218" s="89">
        <f>E218*1.27</f>
        <v>444.5</v>
      </c>
      <c r="K218" s="76">
        <f t="shared" si="29"/>
        <v>27.400000000000006</v>
      </c>
      <c r="L218" s="92">
        <f t="shared" si="29"/>
        <v>27</v>
      </c>
      <c r="M218" s="93">
        <f t="shared" si="29"/>
        <v>27</v>
      </c>
      <c r="N218" s="65" t="s">
        <v>102</v>
      </c>
      <c r="O218" s="94">
        <f>H218/C218</f>
        <v>1.274</v>
      </c>
      <c r="P218" s="66"/>
      <c r="Q218" s="66">
        <f>D218/C218*100</f>
        <v>55.000000000000007</v>
      </c>
      <c r="R218" s="66">
        <f>E218/C218*100</f>
        <v>35</v>
      </c>
      <c r="S218" s="66"/>
      <c r="V218" s="19"/>
      <c r="W218" s="19">
        <f t="shared" si="26"/>
        <v>1.274</v>
      </c>
    </row>
    <row r="219" spans="1:23" s="18" customFormat="1" ht="49.5" x14ac:dyDescent="0.25">
      <c r="A219" s="65" t="s">
        <v>59</v>
      </c>
      <c r="B219" s="69" t="s">
        <v>1270</v>
      </c>
      <c r="C219" s="89">
        <v>350</v>
      </c>
      <c r="D219" s="89">
        <v>230</v>
      </c>
      <c r="E219" s="89">
        <v>160</v>
      </c>
      <c r="F219" s="65" t="s">
        <v>59</v>
      </c>
      <c r="G219" s="69" t="s">
        <v>1270</v>
      </c>
      <c r="H219" s="89">
        <v>385</v>
      </c>
      <c r="I219" s="89">
        <f t="shared" ref="H219:J221" si="31">D219*1.1</f>
        <v>253.00000000000003</v>
      </c>
      <c r="J219" s="89">
        <f t="shared" si="31"/>
        <v>176</v>
      </c>
      <c r="K219" s="76">
        <f t="shared" si="29"/>
        <v>10.000000000000014</v>
      </c>
      <c r="L219" s="92">
        <f t="shared" si="29"/>
        <v>10.000000000000014</v>
      </c>
      <c r="M219" s="93">
        <f t="shared" si="29"/>
        <v>10.000000000000014</v>
      </c>
      <c r="N219" s="65" t="s">
        <v>102</v>
      </c>
      <c r="O219" s="66">
        <f>H219/C219</f>
        <v>1.1000000000000001</v>
      </c>
      <c r="P219" s="66" t="s">
        <v>97</v>
      </c>
      <c r="Q219" s="66"/>
      <c r="R219" s="66"/>
      <c r="S219" s="66"/>
      <c r="V219" s="19"/>
      <c r="W219" s="19">
        <f t="shared" si="26"/>
        <v>1.1000000000000001</v>
      </c>
    </row>
    <row r="220" spans="1:23" s="18" customFormat="1" ht="49.5" x14ac:dyDescent="0.25">
      <c r="A220" s="65" t="s">
        <v>60</v>
      </c>
      <c r="B220" s="113" t="s">
        <v>1271</v>
      </c>
      <c r="C220" s="89">
        <v>220</v>
      </c>
      <c r="D220" s="89">
        <v>130</v>
      </c>
      <c r="E220" s="89">
        <v>90</v>
      </c>
      <c r="F220" s="65" t="s">
        <v>60</v>
      </c>
      <c r="G220" s="113" t="s">
        <v>1271</v>
      </c>
      <c r="H220" s="89">
        <v>244</v>
      </c>
      <c r="I220" s="89">
        <f>D220*1.11</f>
        <v>144.30000000000001</v>
      </c>
      <c r="J220" s="89">
        <f>E220*1.11</f>
        <v>99.9</v>
      </c>
      <c r="K220" s="76">
        <f t="shared" si="29"/>
        <v>10.909090909090907</v>
      </c>
      <c r="L220" s="92">
        <f t="shared" si="29"/>
        <v>11.000000000000014</v>
      </c>
      <c r="M220" s="93">
        <f t="shared" si="29"/>
        <v>11.000000000000014</v>
      </c>
      <c r="N220" s="65" t="s">
        <v>102</v>
      </c>
      <c r="O220" s="66"/>
      <c r="P220" s="94">
        <f>H220/C220</f>
        <v>1.1090909090909091</v>
      </c>
      <c r="Q220" s="66"/>
      <c r="R220" s="66"/>
      <c r="S220" s="66"/>
      <c r="V220" s="19"/>
      <c r="W220" s="19">
        <f t="shared" si="26"/>
        <v>1.1090909090909091</v>
      </c>
    </row>
    <row r="221" spans="1:23" s="18" customFormat="1" ht="49.5" x14ac:dyDescent="0.25">
      <c r="A221" s="65" t="s">
        <v>61</v>
      </c>
      <c r="B221" s="62" t="s">
        <v>318</v>
      </c>
      <c r="C221" s="89">
        <v>90</v>
      </c>
      <c r="D221" s="89">
        <v>85</v>
      </c>
      <c r="E221" s="89">
        <v>80</v>
      </c>
      <c r="F221" s="65" t="s">
        <v>61</v>
      </c>
      <c r="G221" s="62" t="s">
        <v>318</v>
      </c>
      <c r="H221" s="89">
        <f t="shared" si="31"/>
        <v>99.000000000000014</v>
      </c>
      <c r="I221" s="89">
        <f t="shared" si="31"/>
        <v>93.500000000000014</v>
      </c>
      <c r="J221" s="89">
        <f t="shared" si="31"/>
        <v>88</v>
      </c>
      <c r="K221" s="76">
        <f t="shared" si="29"/>
        <v>10.000000000000014</v>
      </c>
      <c r="L221" s="92">
        <f t="shared" si="29"/>
        <v>10.000000000000014</v>
      </c>
      <c r="M221" s="93">
        <f t="shared" si="29"/>
        <v>10.000000000000014</v>
      </c>
      <c r="N221" s="65" t="s">
        <v>102</v>
      </c>
      <c r="O221" s="66"/>
      <c r="P221" s="66"/>
      <c r="Q221" s="66"/>
      <c r="R221" s="66"/>
      <c r="S221" s="66"/>
      <c r="V221" s="19"/>
      <c r="W221" s="19">
        <f t="shared" si="26"/>
        <v>1.1000000000000001</v>
      </c>
    </row>
    <row r="222" spans="1:23" s="18" customFormat="1" ht="16.5" x14ac:dyDescent="0.25">
      <c r="A222" s="65" t="s">
        <v>63</v>
      </c>
      <c r="B222" s="62" t="s">
        <v>53</v>
      </c>
      <c r="C222" s="283">
        <v>80</v>
      </c>
      <c r="D222" s="283"/>
      <c r="E222" s="283"/>
      <c r="F222" s="65" t="s">
        <v>63</v>
      </c>
      <c r="G222" s="62" t="s">
        <v>53</v>
      </c>
      <c r="H222" s="283">
        <f>C222*1.1</f>
        <v>88</v>
      </c>
      <c r="I222" s="283"/>
      <c r="J222" s="283"/>
      <c r="K222" s="284">
        <f t="shared" si="29"/>
        <v>10.000000000000014</v>
      </c>
      <c r="L222" s="285"/>
      <c r="M222" s="286"/>
      <c r="N222" s="65" t="s">
        <v>102</v>
      </c>
      <c r="O222" s="66"/>
      <c r="P222" s="66"/>
      <c r="Q222" s="66"/>
      <c r="R222" s="66"/>
      <c r="S222" s="66"/>
      <c r="V222" s="19"/>
      <c r="W222" s="19">
        <f t="shared" si="26"/>
        <v>1.1000000000000001</v>
      </c>
    </row>
    <row r="223" spans="1:23" ht="16.5" x14ac:dyDescent="0.25">
      <c r="A223" s="82">
        <v>5</v>
      </c>
      <c r="B223" s="69" t="s">
        <v>319</v>
      </c>
      <c r="C223" s="89"/>
      <c r="D223" s="89"/>
      <c r="E223" s="89"/>
      <c r="F223" s="82">
        <v>5</v>
      </c>
      <c r="G223" s="69" t="s">
        <v>319</v>
      </c>
      <c r="H223" s="89"/>
      <c r="I223" s="89"/>
      <c r="J223" s="89"/>
      <c r="K223" s="76"/>
      <c r="L223" s="92"/>
      <c r="M223" s="93"/>
      <c r="N223" s="65"/>
      <c r="O223" s="66"/>
      <c r="P223" s="66"/>
      <c r="Q223" s="66"/>
      <c r="R223" s="66"/>
      <c r="S223" s="66"/>
      <c r="V223" s="14"/>
      <c r="W223" s="14" t="e">
        <f t="shared" si="26"/>
        <v>#DIV/0!</v>
      </c>
    </row>
    <row r="224" spans="1:23" s="18" customFormat="1" ht="49.5" x14ac:dyDescent="0.25">
      <c r="A224" s="65" t="s">
        <v>66</v>
      </c>
      <c r="B224" s="69" t="s">
        <v>1272</v>
      </c>
      <c r="C224" s="89">
        <v>250</v>
      </c>
      <c r="D224" s="89">
        <v>160</v>
      </c>
      <c r="E224" s="89">
        <v>120</v>
      </c>
      <c r="F224" s="65" t="s">
        <v>66</v>
      </c>
      <c r="G224" s="62" t="s">
        <v>320</v>
      </c>
      <c r="H224" s="89">
        <v>279</v>
      </c>
      <c r="I224" s="89">
        <f>D224*1.12</f>
        <v>179.20000000000002</v>
      </c>
      <c r="J224" s="89">
        <f>E224*1.12</f>
        <v>134.4</v>
      </c>
      <c r="K224" s="76">
        <f t="shared" si="29"/>
        <v>11.600000000000009</v>
      </c>
      <c r="L224" s="76">
        <f t="shared" si="29"/>
        <v>12.000000000000014</v>
      </c>
      <c r="M224" s="89">
        <f t="shared" si="29"/>
        <v>12.000000000000014</v>
      </c>
      <c r="N224" s="65" t="s">
        <v>102</v>
      </c>
      <c r="O224" s="66"/>
      <c r="P224" s="94">
        <f>H224/C224</f>
        <v>1.1160000000000001</v>
      </c>
      <c r="Q224" s="66"/>
      <c r="R224" s="66"/>
      <c r="S224" s="66"/>
      <c r="V224" s="19"/>
      <c r="W224" s="19">
        <f t="shared" si="26"/>
        <v>1.1160000000000001</v>
      </c>
    </row>
    <row r="225" spans="1:23" s="18" customFormat="1" ht="45.75" customHeight="1" x14ac:dyDescent="0.25">
      <c r="A225" s="65" t="s">
        <v>67</v>
      </c>
      <c r="B225" s="69" t="s">
        <v>1273</v>
      </c>
      <c r="C225" s="89">
        <v>400</v>
      </c>
      <c r="D225" s="89">
        <v>250</v>
      </c>
      <c r="E225" s="89">
        <v>180</v>
      </c>
      <c r="F225" s="65" t="s">
        <v>67</v>
      </c>
      <c r="G225" s="62" t="s">
        <v>321</v>
      </c>
      <c r="H225" s="89">
        <v>440</v>
      </c>
      <c r="I225" s="89">
        <f t="shared" ref="H225:J227" si="32">D225*1.1</f>
        <v>275</v>
      </c>
      <c r="J225" s="89">
        <f t="shared" si="32"/>
        <v>198.00000000000003</v>
      </c>
      <c r="K225" s="76">
        <f t="shared" si="29"/>
        <v>10.000000000000014</v>
      </c>
      <c r="L225" s="76">
        <f t="shared" si="29"/>
        <v>10.000000000000014</v>
      </c>
      <c r="M225" s="89">
        <f t="shared" si="29"/>
        <v>10.000000000000014</v>
      </c>
      <c r="N225" s="65" t="s">
        <v>102</v>
      </c>
      <c r="O225" s="66">
        <f>H225/C225</f>
        <v>1.1000000000000001</v>
      </c>
      <c r="P225" s="66"/>
      <c r="Q225" s="66"/>
      <c r="R225" s="66"/>
      <c r="S225" s="66"/>
      <c r="V225" s="19"/>
      <c r="W225" s="19">
        <f t="shared" si="26"/>
        <v>1.1000000000000001</v>
      </c>
    </row>
    <row r="226" spans="1:23" s="18" customFormat="1" ht="51.75" customHeight="1" x14ac:dyDescent="0.25">
      <c r="A226" s="65" t="s">
        <v>68</v>
      </c>
      <c r="B226" s="69" t="s">
        <v>1274</v>
      </c>
      <c r="C226" s="89">
        <v>170</v>
      </c>
      <c r="D226" s="89">
        <v>130</v>
      </c>
      <c r="E226" s="89">
        <v>100</v>
      </c>
      <c r="F226" s="65" t="s">
        <v>68</v>
      </c>
      <c r="G226" s="69" t="s">
        <v>1274</v>
      </c>
      <c r="H226" s="89">
        <v>190</v>
      </c>
      <c r="I226" s="89">
        <f>D226*1.12</f>
        <v>145.60000000000002</v>
      </c>
      <c r="J226" s="89">
        <f>E226*1.12</f>
        <v>112.00000000000001</v>
      </c>
      <c r="K226" s="76">
        <f t="shared" si="29"/>
        <v>11.764705882352942</v>
      </c>
      <c r="L226" s="92">
        <f t="shared" si="29"/>
        <v>12.000000000000014</v>
      </c>
      <c r="M226" s="93">
        <f t="shared" si="29"/>
        <v>12.000000000000014</v>
      </c>
      <c r="N226" s="65" t="s">
        <v>102</v>
      </c>
      <c r="O226" s="66"/>
      <c r="P226" s="94">
        <f>H226/C226</f>
        <v>1.1176470588235294</v>
      </c>
      <c r="Q226" s="66"/>
      <c r="R226" s="66"/>
      <c r="S226" s="66"/>
      <c r="V226" s="19"/>
      <c r="W226" s="19">
        <f t="shared" si="26"/>
        <v>1.1176470588235294</v>
      </c>
    </row>
    <row r="227" spans="1:23" s="18" customFormat="1" ht="49.5" x14ac:dyDescent="0.25">
      <c r="A227" s="65" t="s">
        <v>69</v>
      </c>
      <c r="B227" s="62" t="s">
        <v>318</v>
      </c>
      <c r="C227" s="89">
        <v>100</v>
      </c>
      <c r="D227" s="89">
        <v>85</v>
      </c>
      <c r="E227" s="89">
        <v>80</v>
      </c>
      <c r="F227" s="65" t="s">
        <v>69</v>
      </c>
      <c r="G227" s="62" t="s">
        <v>318</v>
      </c>
      <c r="H227" s="89">
        <f t="shared" si="32"/>
        <v>110.00000000000001</v>
      </c>
      <c r="I227" s="89">
        <f t="shared" si="32"/>
        <v>93.500000000000014</v>
      </c>
      <c r="J227" s="89">
        <f t="shared" si="32"/>
        <v>88</v>
      </c>
      <c r="K227" s="76">
        <f t="shared" si="29"/>
        <v>10.000000000000014</v>
      </c>
      <c r="L227" s="92">
        <f t="shared" si="29"/>
        <v>10.000000000000014</v>
      </c>
      <c r="M227" s="93">
        <f t="shared" si="29"/>
        <v>10.000000000000014</v>
      </c>
      <c r="N227" s="65" t="s">
        <v>102</v>
      </c>
      <c r="O227" s="66"/>
      <c r="P227" s="66"/>
      <c r="Q227" s="66"/>
      <c r="R227" s="66"/>
      <c r="S227" s="66"/>
      <c r="V227" s="19"/>
      <c r="W227" s="19">
        <f t="shared" si="26"/>
        <v>1.1000000000000001</v>
      </c>
    </row>
    <row r="228" spans="1:23" s="18" customFormat="1" ht="16.5" x14ac:dyDescent="0.25">
      <c r="A228" s="65" t="s">
        <v>72</v>
      </c>
      <c r="B228" s="62" t="s">
        <v>53</v>
      </c>
      <c r="C228" s="283">
        <v>80</v>
      </c>
      <c r="D228" s="283"/>
      <c r="E228" s="283"/>
      <c r="F228" s="65" t="s">
        <v>72</v>
      </c>
      <c r="G228" s="62" t="s">
        <v>53</v>
      </c>
      <c r="H228" s="284">
        <f>C228*1.1</f>
        <v>88</v>
      </c>
      <c r="I228" s="285"/>
      <c r="J228" s="286"/>
      <c r="K228" s="284">
        <f t="shared" si="29"/>
        <v>10.000000000000014</v>
      </c>
      <c r="L228" s="285"/>
      <c r="M228" s="286"/>
      <c r="N228" s="65" t="s">
        <v>102</v>
      </c>
      <c r="O228" s="66"/>
      <c r="P228" s="66"/>
      <c r="Q228" s="66"/>
      <c r="R228" s="66"/>
      <c r="S228" s="66"/>
      <c r="V228" s="19"/>
      <c r="W228" s="19">
        <f t="shared" si="26"/>
        <v>1.1000000000000001</v>
      </c>
    </row>
    <row r="229" spans="1:23" ht="16.5" x14ac:dyDescent="0.25">
      <c r="A229" s="82">
        <v>6</v>
      </c>
      <c r="B229" s="69" t="s">
        <v>322</v>
      </c>
      <c r="C229" s="89"/>
      <c r="D229" s="89"/>
      <c r="E229" s="89"/>
      <c r="F229" s="82">
        <v>6</v>
      </c>
      <c r="G229" s="69" t="s">
        <v>322</v>
      </c>
      <c r="H229" s="89"/>
      <c r="I229" s="89"/>
      <c r="J229" s="89"/>
      <c r="K229" s="76"/>
      <c r="L229" s="92"/>
      <c r="M229" s="93"/>
      <c r="N229" s="65"/>
      <c r="O229" s="66"/>
      <c r="P229" s="66"/>
      <c r="Q229" s="66"/>
      <c r="R229" s="66"/>
      <c r="S229" s="66"/>
      <c r="V229" s="14"/>
      <c r="W229" s="14" t="e">
        <f t="shared" si="26"/>
        <v>#DIV/0!</v>
      </c>
    </row>
    <row r="230" spans="1:23" s="18" customFormat="1" ht="48.75" customHeight="1" x14ac:dyDescent="0.25">
      <c r="A230" s="65" t="s">
        <v>77</v>
      </c>
      <c r="B230" s="69" t="s">
        <v>1275</v>
      </c>
      <c r="C230" s="89">
        <v>220</v>
      </c>
      <c r="D230" s="89">
        <v>130</v>
      </c>
      <c r="E230" s="89">
        <v>90</v>
      </c>
      <c r="F230" s="65" t="s">
        <v>77</v>
      </c>
      <c r="G230" s="69" t="s">
        <v>1275</v>
      </c>
      <c r="H230" s="89">
        <v>244</v>
      </c>
      <c r="I230" s="89">
        <f>D230*1.11</f>
        <v>144.30000000000001</v>
      </c>
      <c r="J230" s="89">
        <f>E230*1.11</f>
        <v>99.9</v>
      </c>
      <c r="K230" s="76">
        <f t="shared" si="29"/>
        <v>10.909090909090907</v>
      </c>
      <c r="L230" s="92">
        <f t="shared" si="29"/>
        <v>11.000000000000014</v>
      </c>
      <c r="M230" s="93">
        <f t="shared" si="29"/>
        <v>11.000000000000014</v>
      </c>
      <c r="N230" s="65" t="s">
        <v>102</v>
      </c>
      <c r="O230" s="66"/>
      <c r="P230" s="66"/>
      <c r="Q230" s="66"/>
      <c r="R230" s="66"/>
      <c r="S230" s="66"/>
      <c r="V230" s="19"/>
      <c r="W230" s="19">
        <f t="shared" si="26"/>
        <v>1.1090909090909091</v>
      </c>
    </row>
    <row r="231" spans="1:23" s="18" customFormat="1" ht="66" x14ac:dyDescent="0.25">
      <c r="A231" s="65" t="s">
        <v>78</v>
      </c>
      <c r="B231" s="69" t="s">
        <v>1276</v>
      </c>
      <c r="C231" s="89">
        <v>350</v>
      </c>
      <c r="D231" s="89">
        <v>240</v>
      </c>
      <c r="E231" s="89">
        <v>160</v>
      </c>
      <c r="F231" s="65" t="s">
        <v>78</v>
      </c>
      <c r="G231" s="69" t="s">
        <v>1276</v>
      </c>
      <c r="H231" s="89">
        <v>385</v>
      </c>
      <c r="I231" s="89">
        <f t="shared" ref="H231:J235" si="33">D231*1.1</f>
        <v>264</v>
      </c>
      <c r="J231" s="89">
        <f t="shared" si="33"/>
        <v>176</v>
      </c>
      <c r="K231" s="76">
        <f t="shared" si="29"/>
        <v>10.000000000000014</v>
      </c>
      <c r="L231" s="76">
        <f t="shared" si="29"/>
        <v>10.000000000000014</v>
      </c>
      <c r="M231" s="89">
        <f t="shared" si="29"/>
        <v>10.000000000000014</v>
      </c>
      <c r="N231" s="65" t="s">
        <v>102</v>
      </c>
      <c r="O231" s="66">
        <f>H231/C231</f>
        <v>1.1000000000000001</v>
      </c>
      <c r="P231" s="66"/>
      <c r="Q231" s="66"/>
      <c r="R231" s="66"/>
      <c r="S231" s="66"/>
      <c r="V231" s="19"/>
      <c r="W231" s="19">
        <f t="shared" si="26"/>
        <v>1.1000000000000001</v>
      </c>
    </row>
    <row r="232" spans="1:23" s="18" customFormat="1" ht="53.25" customHeight="1" x14ac:dyDescent="0.25">
      <c r="A232" s="65" t="s">
        <v>79</v>
      </c>
      <c r="B232" s="69" t="s">
        <v>1277</v>
      </c>
      <c r="C232" s="89">
        <v>380</v>
      </c>
      <c r="D232" s="89">
        <v>260</v>
      </c>
      <c r="E232" s="89">
        <v>180</v>
      </c>
      <c r="F232" s="65" t="s">
        <v>79</v>
      </c>
      <c r="G232" s="69" t="s">
        <v>1277</v>
      </c>
      <c r="H232" s="89">
        <v>420</v>
      </c>
      <c r="I232" s="89">
        <f>D232*1.11</f>
        <v>288.60000000000002</v>
      </c>
      <c r="J232" s="89">
        <f>E232*1.11</f>
        <v>199.8</v>
      </c>
      <c r="K232" s="76">
        <f t="shared" si="29"/>
        <v>10.526315789473699</v>
      </c>
      <c r="L232" s="76">
        <f t="shared" si="29"/>
        <v>11.000000000000014</v>
      </c>
      <c r="M232" s="89">
        <f t="shared" si="29"/>
        <v>11.000000000000014</v>
      </c>
      <c r="N232" s="65" t="s">
        <v>102</v>
      </c>
      <c r="O232" s="94">
        <f>H232/C232</f>
        <v>1.1052631578947369</v>
      </c>
      <c r="P232" s="66"/>
      <c r="Q232" s="66"/>
      <c r="R232" s="66"/>
      <c r="S232" s="66"/>
      <c r="V232" s="19"/>
      <c r="W232" s="19">
        <f t="shared" si="26"/>
        <v>1.1052631578947369</v>
      </c>
    </row>
    <row r="233" spans="1:23" s="18" customFormat="1" ht="49.5" x14ac:dyDescent="0.25">
      <c r="A233" s="65" t="s">
        <v>181</v>
      </c>
      <c r="B233" s="69" t="s">
        <v>1278</v>
      </c>
      <c r="C233" s="89">
        <v>500</v>
      </c>
      <c r="D233" s="89">
        <v>280</v>
      </c>
      <c r="E233" s="89">
        <v>170</v>
      </c>
      <c r="F233" s="65" t="s">
        <v>181</v>
      </c>
      <c r="G233" s="69" t="s">
        <v>1278</v>
      </c>
      <c r="H233" s="89">
        <f t="shared" si="33"/>
        <v>550</v>
      </c>
      <c r="I233" s="89">
        <f t="shared" si="33"/>
        <v>308</v>
      </c>
      <c r="J233" s="89">
        <f t="shared" si="33"/>
        <v>187.00000000000003</v>
      </c>
      <c r="K233" s="76">
        <f t="shared" si="29"/>
        <v>10.000000000000014</v>
      </c>
      <c r="L233" s="76">
        <f t="shared" si="29"/>
        <v>10.000000000000014</v>
      </c>
      <c r="M233" s="89">
        <f t="shared" si="29"/>
        <v>10.000000000000014</v>
      </c>
      <c r="N233" s="65" t="s">
        <v>102</v>
      </c>
      <c r="O233" s="66">
        <f>H233/C233</f>
        <v>1.1000000000000001</v>
      </c>
      <c r="P233" s="66"/>
      <c r="Q233" s="66"/>
      <c r="R233" s="66"/>
      <c r="S233" s="66"/>
      <c r="V233" s="19"/>
      <c r="W233" s="19">
        <f t="shared" si="26"/>
        <v>1.1000000000000001</v>
      </c>
    </row>
    <row r="234" spans="1:23" s="18" customFormat="1" ht="49.5" x14ac:dyDescent="0.25">
      <c r="A234" s="65" t="s">
        <v>82</v>
      </c>
      <c r="B234" s="69" t="s">
        <v>1279</v>
      </c>
      <c r="C234" s="89">
        <v>220</v>
      </c>
      <c r="D234" s="89">
        <v>130</v>
      </c>
      <c r="E234" s="89">
        <v>90</v>
      </c>
      <c r="F234" s="65" t="s">
        <v>82</v>
      </c>
      <c r="G234" s="69" t="s">
        <v>1279</v>
      </c>
      <c r="H234" s="89">
        <v>244</v>
      </c>
      <c r="I234" s="89">
        <f>D234*1.11</f>
        <v>144.30000000000001</v>
      </c>
      <c r="J234" s="89">
        <f>E234*1.11</f>
        <v>99.9</v>
      </c>
      <c r="K234" s="76">
        <f t="shared" si="29"/>
        <v>10.909090909090907</v>
      </c>
      <c r="L234" s="76">
        <f t="shared" si="29"/>
        <v>11.000000000000014</v>
      </c>
      <c r="M234" s="89">
        <f t="shared" si="29"/>
        <v>11.000000000000014</v>
      </c>
      <c r="N234" s="65" t="s">
        <v>102</v>
      </c>
      <c r="O234" s="66"/>
      <c r="P234" s="66"/>
      <c r="Q234" s="66"/>
      <c r="R234" s="66"/>
      <c r="S234" s="66"/>
      <c r="V234" s="19"/>
      <c r="W234" s="19">
        <f t="shared" si="26"/>
        <v>1.1090909090909091</v>
      </c>
    </row>
    <row r="235" spans="1:23" s="18" customFormat="1" ht="49.5" x14ac:dyDescent="0.25">
      <c r="A235" s="65" t="s">
        <v>83</v>
      </c>
      <c r="B235" s="62" t="s">
        <v>51</v>
      </c>
      <c r="C235" s="89">
        <v>90</v>
      </c>
      <c r="D235" s="89">
        <v>85</v>
      </c>
      <c r="E235" s="89">
        <v>80</v>
      </c>
      <c r="F235" s="65" t="s">
        <v>83</v>
      </c>
      <c r="G235" s="62" t="s">
        <v>51</v>
      </c>
      <c r="H235" s="89">
        <f t="shared" si="33"/>
        <v>99.000000000000014</v>
      </c>
      <c r="I235" s="89">
        <f t="shared" si="33"/>
        <v>93.500000000000014</v>
      </c>
      <c r="J235" s="89">
        <f t="shared" si="33"/>
        <v>88</v>
      </c>
      <c r="K235" s="76">
        <f t="shared" si="29"/>
        <v>10.000000000000014</v>
      </c>
      <c r="L235" s="92">
        <f t="shared" si="29"/>
        <v>10.000000000000014</v>
      </c>
      <c r="M235" s="93">
        <f t="shared" si="29"/>
        <v>10.000000000000014</v>
      </c>
      <c r="N235" s="65" t="s">
        <v>102</v>
      </c>
      <c r="O235" s="66"/>
      <c r="P235" s="66"/>
      <c r="Q235" s="66"/>
      <c r="R235" s="66"/>
      <c r="S235" s="66"/>
      <c r="V235" s="19"/>
      <c r="W235" s="19">
        <f t="shared" si="26"/>
        <v>1.1000000000000001</v>
      </c>
    </row>
    <row r="236" spans="1:23" s="18" customFormat="1" ht="16.5" x14ac:dyDescent="0.25">
      <c r="A236" s="65" t="s">
        <v>186</v>
      </c>
      <c r="B236" s="62" t="s">
        <v>53</v>
      </c>
      <c r="C236" s="283">
        <v>80</v>
      </c>
      <c r="D236" s="283"/>
      <c r="E236" s="283"/>
      <c r="F236" s="65" t="s">
        <v>186</v>
      </c>
      <c r="G236" s="62" t="s">
        <v>53</v>
      </c>
      <c r="H236" s="283">
        <f>C236*1.1</f>
        <v>88</v>
      </c>
      <c r="I236" s="283"/>
      <c r="J236" s="283"/>
      <c r="K236" s="284">
        <f t="shared" si="29"/>
        <v>10.000000000000014</v>
      </c>
      <c r="L236" s="285"/>
      <c r="M236" s="286"/>
      <c r="N236" s="65" t="s">
        <v>102</v>
      </c>
      <c r="O236" s="66"/>
      <c r="P236" s="66"/>
      <c r="Q236" s="66"/>
      <c r="R236" s="66"/>
      <c r="S236" s="66"/>
      <c r="V236" s="19"/>
      <c r="W236" s="19">
        <f t="shared" si="26"/>
        <v>1.1000000000000001</v>
      </c>
    </row>
    <row r="237" spans="1:23" ht="16.5" x14ac:dyDescent="0.25">
      <c r="A237" s="82">
        <v>7</v>
      </c>
      <c r="B237" s="69" t="s">
        <v>323</v>
      </c>
      <c r="C237" s="89"/>
      <c r="D237" s="89"/>
      <c r="E237" s="89"/>
      <c r="F237" s="82">
        <v>7</v>
      </c>
      <c r="G237" s="69" t="s">
        <v>323</v>
      </c>
      <c r="H237" s="89"/>
      <c r="I237" s="89"/>
      <c r="J237" s="89"/>
      <c r="K237" s="76"/>
      <c r="L237" s="92"/>
      <c r="M237" s="93"/>
      <c r="N237" s="65"/>
      <c r="O237" s="66"/>
      <c r="P237" s="66"/>
      <c r="Q237" s="66"/>
      <c r="R237" s="66"/>
      <c r="S237" s="66"/>
      <c r="V237" s="14"/>
      <c r="W237" s="14" t="e">
        <f t="shared" si="26"/>
        <v>#DIV/0!</v>
      </c>
    </row>
    <row r="238" spans="1:23" s="18" customFormat="1" ht="49.5" x14ac:dyDescent="0.25">
      <c r="A238" s="65" t="s">
        <v>199</v>
      </c>
      <c r="B238" s="69" t="s">
        <v>1280</v>
      </c>
      <c r="C238" s="89">
        <v>170</v>
      </c>
      <c r="D238" s="89">
        <v>130</v>
      </c>
      <c r="E238" s="89">
        <v>100</v>
      </c>
      <c r="F238" s="65" t="s">
        <v>199</v>
      </c>
      <c r="G238" s="69" t="s">
        <v>1280</v>
      </c>
      <c r="H238" s="89">
        <f t="shared" ref="H238:J244" si="34">C238*1.1</f>
        <v>187.00000000000003</v>
      </c>
      <c r="I238" s="89">
        <f t="shared" si="34"/>
        <v>143</v>
      </c>
      <c r="J238" s="89">
        <f t="shared" si="34"/>
        <v>110.00000000000001</v>
      </c>
      <c r="K238" s="76">
        <f t="shared" si="29"/>
        <v>10.000000000000014</v>
      </c>
      <c r="L238" s="76">
        <f t="shared" si="29"/>
        <v>10.000000000000014</v>
      </c>
      <c r="M238" s="89">
        <f t="shared" si="29"/>
        <v>10.000000000000014</v>
      </c>
      <c r="N238" s="65" t="s">
        <v>102</v>
      </c>
      <c r="O238" s="66"/>
      <c r="P238" s="66">
        <f>H238/C238</f>
        <v>1.1000000000000001</v>
      </c>
      <c r="Q238" s="66"/>
      <c r="R238" s="66"/>
      <c r="S238" s="66"/>
      <c r="V238" s="19"/>
      <c r="W238" s="19">
        <f t="shared" si="26"/>
        <v>1.1000000000000001</v>
      </c>
    </row>
    <row r="239" spans="1:23" s="18" customFormat="1" ht="49.5" x14ac:dyDescent="0.25">
      <c r="A239" s="65" t="s">
        <v>200</v>
      </c>
      <c r="B239" s="69" t="s">
        <v>1281</v>
      </c>
      <c r="C239" s="89">
        <v>300</v>
      </c>
      <c r="D239" s="89">
        <v>180</v>
      </c>
      <c r="E239" s="89">
        <v>140</v>
      </c>
      <c r="F239" s="65" t="s">
        <v>200</v>
      </c>
      <c r="G239" s="69" t="s">
        <v>1281</v>
      </c>
      <c r="H239" s="89">
        <v>330</v>
      </c>
      <c r="I239" s="89">
        <f t="shared" si="34"/>
        <v>198.00000000000003</v>
      </c>
      <c r="J239" s="89">
        <f t="shared" si="34"/>
        <v>154</v>
      </c>
      <c r="K239" s="76">
        <f t="shared" si="29"/>
        <v>10.000000000000014</v>
      </c>
      <c r="L239" s="76">
        <f t="shared" si="29"/>
        <v>10.000000000000014</v>
      </c>
      <c r="M239" s="89">
        <f t="shared" si="29"/>
        <v>10.000000000000014</v>
      </c>
      <c r="N239" s="65" t="s">
        <v>102</v>
      </c>
      <c r="O239" s="66">
        <f>H239/C239</f>
        <v>1.1000000000000001</v>
      </c>
      <c r="P239" s="66"/>
      <c r="Q239" s="66"/>
      <c r="R239" s="66"/>
      <c r="S239" s="66"/>
      <c r="V239" s="19"/>
      <c r="W239" s="19">
        <f t="shared" si="26"/>
        <v>1.1000000000000001</v>
      </c>
    </row>
    <row r="240" spans="1:23" s="18" customFormat="1" ht="49.5" x14ac:dyDescent="0.25">
      <c r="A240" s="65" t="s">
        <v>201</v>
      </c>
      <c r="B240" s="69" t="s">
        <v>1282</v>
      </c>
      <c r="C240" s="89">
        <v>140</v>
      </c>
      <c r="D240" s="89">
        <v>110</v>
      </c>
      <c r="E240" s="89">
        <v>85</v>
      </c>
      <c r="F240" s="65" t="s">
        <v>201</v>
      </c>
      <c r="G240" s="69" t="s">
        <v>1282</v>
      </c>
      <c r="H240" s="89">
        <v>155</v>
      </c>
      <c r="I240" s="89">
        <f>D240*1.11</f>
        <v>122.10000000000001</v>
      </c>
      <c r="J240" s="89">
        <f>E240*1.11</f>
        <v>94.350000000000009</v>
      </c>
      <c r="K240" s="76">
        <f t="shared" si="29"/>
        <v>10.714285714285722</v>
      </c>
      <c r="L240" s="76">
        <f t="shared" si="29"/>
        <v>11.000000000000014</v>
      </c>
      <c r="M240" s="89">
        <f t="shared" si="29"/>
        <v>11.000000000000014</v>
      </c>
      <c r="N240" s="65" t="s">
        <v>102</v>
      </c>
      <c r="O240" s="66"/>
      <c r="P240" s="94">
        <f>H240/C240</f>
        <v>1.1071428571428572</v>
      </c>
      <c r="Q240" s="66"/>
      <c r="R240" s="66"/>
      <c r="S240" s="66"/>
      <c r="V240" s="19"/>
      <c r="W240" s="19">
        <f t="shared" si="26"/>
        <v>1.1071428571428572</v>
      </c>
    </row>
    <row r="241" spans="1:23" s="18" customFormat="1" ht="49.5" x14ac:dyDescent="0.25">
      <c r="A241" s="65" t="s">
        <v>202</v>
      </c>
      <c r="B241" s="69" t="s">
        <v>1283</v>
      </c>
      <c r="C241" s="89">
        <v>120</v>
      </c>
      <c r="D241" s="89">
        <v>100</v>
      </c>
      <c r="E241" s="89">
        <v>80</v>
      </c>
      <c r="F241" s="65" t="s">
        <v>202</v>
      </c>
      <c r="G241" s="69" t="s">
        <v>1283</v>
      </c>
      <c r="H241" s="89">
        <v>138</v>
      </c>
      <c r="I241" s="89">
        <f>D241*1.15</f>
        <v>114.99999999999999</v>
      </c>
      <c r="J241" s="89">
        <f>E241*1.15</f>
        <v>92</v>
      </c>
      <c r="K241" s="76">
        <f t="shared" si="29"/>
        <v>14.999999999999986</v>
      </c>
      <c r="L241" s="76">
        <f t="shared" si="29"/>
        <v>14.999999999999986</v>
      </c>
      <c r="M241" s="89">
        <f t="shared" si="29"/>
        <v>14.999999999999986</v>
      </c>
      <c r="N241" s="65" t="s">
        <v>102</v>
      </c>
      <c r="O241" s="66"/>
      <c r="P241" s="66">
        <f>H241/C241</f>
        <v>1.1499999999999999</v>
      </c>
      <c r="Q241" s="66"/>
      <c r="R241" s="66"/>
      <c r="S241" s="66"/>
      <c r="V241" s="19"/>
      <c r="W241" s="19">
        <f t="shared" si="26"/>
        <v>1.1499999999999999</v>
      </c>
    </row>
    <row r="242" spans="1:23" s="18" customFormat="1" ht="49.5" x14ac:dyDescent="0.25">
      <c r="A242" s="65" t="s">
        <v>204</v>
      </c>
      <c r="B242" s="69" t="s">
        <v>1284</v>
      </c>
      <c r="C242" s="89">
        <v>120</v>
      </c>
      <c r="D242" s="89">
        <v>100</v>
      </c>
      <c r="E242" s="89">
        <v>80</v>
      </c>
      <c r="F242" s="65" t="s">
        <v>204</v>
      </c>
      <c r="G242" s="69" t="s">
        <v>1284</v>
      </c>
      <c r="H242" s="89">
        <v>134</v>
      </c>
      <c r="I242" s="89">
        <f>D242*1.12</f>
        <v>112.00000000000001</v>
      </c>
      <c r="J242" s="89">
        <f>E242*1.12</f>
        <v>89.600000000000009</v>
      </c>
      <c r="K242" s="76">
        <f t="shared" si="29"/>
        <v>11.666666666666671</v>
      </c>
      <c r="L242" s="92">
        <f t="shared" si="29"/>
        <v>12.000000000000014</v>
      </c>
      <c r="M242" s="93">
        <f t="shared" si="29"/>
        <v>12.000000000000014</v>
      </c>
      <c r="N242" s="65" t="s">
        <v>102</v>
      </c>
      <c r="O242" s="66"/>
      <c r="P242" s="94">
        <f>H242/C242</f>
        <v>1.1166666666666667</v>
      </c>
      <c r="Q242" s="66"/>
      <c r="R242" s="66"/>
      <c r="S242" s="66"/>
      <c r="V242" s="19"/>
      <c r="W242" s="19">
        <f t="shared" si="26"/>
        <v>1.1166666666666667</v>
      </c>
    </row>
    <row r="243" spans="1:23" s="18" customFormat="1" ht="45.75" customHeight="1" x14ac:dyDescent="0.25">
      <c r="A243" s="65" t="s">
        <v>206</v>
      </c>
      <c r="B243" s="69" t="s">
        <v>1285</v>
      </c>
      <c r="C243" s="89">
        <v>120</v>
      </c>
      <c r="D243" s="89">
        <v>100</v>
      </c>
      <c r="E243" s="89">
        <v>80</v>
      </c>
      <c r="F243" s="65" t="s">
        <v>206</v>
      </c>
      <c r="G243" s="69" t="s">
        <v>1285</v>
      </c>
      <c r="H243" s="89">
        <v>134</v>
      </c>
      <c r="I243" s="89">
        <f>D243*1.12</f>
        <v>112.00000000000001</v>
      </c>
      <c r="J243" s="89">
        <f>E243*1.12</f>
        <v>89.600000000000009</v>
      </c>
      <c r="K243" s="76">
        <f t="shared" si="29"/>
        <v>11.666666666666671</v>
      </c>
      <c r="L243" s="92">
        <f t="shared" si="29"/>
        <v>12.000000000000014</v>
      </c>
      <c r="M243" s="93">
        <f t="shared" si="29"/>
        <v>12.000000000000014</v>
      </c>
      <c r="N243" s="65" t="s">
        <v>102</v>
      </c>
      <c r="O243" s="66"/>
      <c r="P243" s="66">
        <v>1.1200000000000001</v>
      </c>
      <c r="Q243" s="66"/>
      <c r="R243" s="66"/>
      <c r="S243" s="66"/>
      <c r="V243" s="19"/>
      <c r="W243" s="19">
        <f t="shared" si="26"/>
        <v>1.1166666666666667</v>
      </c>
    </row>
    <row r="244" spans="1:23" s="18" customFormat="1" ht="49.5" x14ac:dyDescent="0.25">
      <c r="A244" s="65" t="s">
        <v>210</v>
      </c>
      <c r="B244" s="62" t="s">
        <v>51</v>
      </c>
      <c r="C244" s="89">
        <v>90</v>
      </c>
      <c r="D244" s="89">
        <v>85</v>
      </c>
      <c r="E244" s="89">
        <v>80</v>
      </c>
      <c r="F244" s="65" t="s">
        <v>210</v>
      </c>
      <c r="G244" s="62" t="s">
        <v>51</v>
      </c>
      <c r="H244" s="89">
        <f t="shared" si="34"/>
        <v>99.000000000000014</v>
      </c>
      <c r="I244" s="89">
        <f t="shared" si="34"/>
        <v>93.500000000000014</v>
      </c>
      <c r="J244" s="89">
        <f t="shared" si="34"/>
        <v>88</v>
      </c>
      <c r="K244" s="76">
        <f t="shared" si="29"/>
        <v>10.000000000000014</v>
      </c>
      <c r="L244" s="76">
        <f t="shared" si="29"/>
        <v>10.000000000000014</v>
      </c>
      <c r="M244" s="89">
        <f t="shared" si="29"/>
        <v>10.000000000000014</v>
      </c>
      <c r="N244" s="65" t="s">
        <v>102</v>
      </c>
      <c r="O244" s="66"/>
      <c r="P244" s="66"/>
      <c r="Q244" s="66"/>
      <c r="R244" s="66"/>
      <c r="S244" s="66"/>
      <c r="V244" s="19"/>
      <c r="W244" s="19">
        <f t="shared" si="26"/>
        <v>1.1000000000000001</v>
      </c>
    </row>
    <row r="245" spans="1:23" s="18" customFormat="1" ht="23.25" customHeight="1" x14ac:dyDescent="0.25">
      <c r="A245" s="65" t="s">
        <v>211</v>
      </c>
      <c r="B245" s="62" t="s">
        <v>53</v>
      </c>
      <c r="C245" s="283">
        <v>80</v>
      </c>
      <c r="D245" s="283"/>
      <c r="E245" s="283"/>
      <c r="F245" s="65" t="s">
        <v>211</v>
      </c>
      <c r="G245" s="62" t="s">
        <v>53</v>
      </c>
      <c r="H245" s="284">
        <f>C245*1.1</f>
        <v>88</v>
      </c>
      <c r="I245" s="285"/>
      <c r="J245" s="286"/>
      <c r="K245" s="284">
        <f t="shared" si="29"/>
        <v>10.000000000000014</v>
      </c>
      <c r="L245" s="285"/>
      <c r="M245" s="286"/>
      <c r="N245" s="65" t="s">
        <v>102</v>
      </c>
      <c r="O245" s="66"/>
      <c r="P245" s="66"/>
      <c r="Q245" s="66"/>
      <c r="R245" s="66"/>
      <c r="S245" s="66"/>
      <c r="V245" s="19"/>
      <c r="W245" s="19">
        <f t="shared" si="26"/>
        <v>1.1000000000000001</v>
      </c>
    </row>
    <row r="246" spans="1:23" ht="16.5" x14ac:dyDescent="0.25">
      <c r="A246" s="82">
        <v>8</v>
      </c>
      <c r="B246" s="69" t="s">
        <v>324</v>
      </c>
      <c r="C246" s="89"/>
      <c r="D246" s="89"/>
      <c r="E246" s="89"/>
      <c r="F246" s="82">
        <v>8</v>
      </c>
      <c r="G246" s="69" t="s">
        <v>324</v>
      </c>
      <c r="H246" s="89"/>
      <c r="I246" s="89"/>
      <c r="J246" s="89"/>
      <c r="K246" s="76"/>
      <c r="L246" s="92"/>
      <c r="M246" s="93"/>
      <c r="N246" s="65"/>
      <c r="O246" s="66"/>
      <c r="P246" s="66"/>
      <c r="Q246" s="66"/>
      <c r="R246" s="66"/>
      <c r="S246" s="66"/>
      <c r="V246" s="14"/>
      <c r="W246" s="14" t="e">
        <f t="shared" si="26"/>
        <v>#DIV/0!</v>
      </c>
    </row>
    <row r="247" spans="1:23" s="18" customFormat="1" ht="48" customHeight="1" x14ac:dyDescent="0.25">
      <c r="A247" s="65" t="s">
        <v>27</v>
      </c>
      <c r="B247" s="69" t="s">
        <v>1286</v>
      </c>
      <c r="C247" s="89">
        <v>120</v>
      </c>
      <c r="D247" s="89">
        <v>100</v>
      </c>
      <c r="E247" s="89">
        <v>80</v>
      </c>
      <c r="F247" s="65" t="s">
        <v>27</v>
      </c>
      <c r="G247" s="69" t="s">
        <v>1286</v>
      </c>
      <c r="H247" s="89">
        <v>180</v>
      </c>
      <c r="I247" s="89">
        <f>D247*1.5</f>
        <v>150</v>
      </c>
      <c r="J247" s="89">
        <f>E247*1.5</f>
        <v>120</v>
      </c>
      <c r="K247" s="76">
        <f t="shared" si="29"/>
        <v>50</v>
      </c>
      <c r="L247" s="76">
        <f t="shared" si="29"/>
        <v>50</v>
      </c>
      <c r="M247" s="89">
        <f t="shared" si="29"/>
        <v>50</v>
      </c>
      <c r="N247" s="65" t="s">
        <v>1036</v>
      </c>
      <c r="O247" s="66" t="s">
        <v>325</v>
      </c>
      <c r="P247" s="100">
        <f>H247/C247</f>
        <v>1.5</v>
      </c>
      <c r="Q247" s="66">
        <f>D247/C247*100</f>
        <v>83.333333333333343</v>
      </c>
      <c r="R247" s="66">
        <f>E247/C247*100</f>
        <v>66.666666666666657</v>
      </c>
      <c r="S247" s="66"/>
      <c r="V247" s="19"/>
      <c r="W247" s="19">
        <f t="shared" si="26"/>
        <v>1.5</v>
      </c>
    </row>
    <row r="248" spans="1:23" s="18" customFormat="1" ht="41.25" customHeight="1" x14ac:dyDescent="0.25">
      <c r="A248" s="65" t="s">
        <v>31</v>
      </c>
      <c r="B248" s="69" t="s">
        <v>1287</v>
      </c>
      <c r="C248" s="89">
        <v>100</v>
      </c>
      <c r="D248" s="89">
        <v>90</v>
      </c>
      <c r="E248" s="89">
        <v>80</v>
      </c>
      <c r="F248" s="65" t="s">
        <v>31</v>
      </c>
      <c r="G248" s="69" t="s">
        <v>1287</v>
      </c>
      <c r="H248" s="89">
        <f t="shared" ref="H248:J250" si="35">C248*1.1</f>
        <v>110.00000000000001</v>
      </c>
      <c r="I248" s="89">
        <f t="shared" si="35"/>
        <v>99.000000000000014</v>
      </c>
      <c r="J248" s="89">
        <f t="shared" si="35"/>
        <v>88</v>
      </c>
      <c r="K248" s="76">
        <f t="shared" si="29"/>
        <v>10.000000000000014</v>
      </c>
      <c r="L248" s="92">
        <f t="shared" si="29"/>
        <v>10.000000000000014</v>
      </c>
      <c r="M248" s="93">
        <f t="shared" si="29"/>
        <v>10.000000000000014</v>
      </c>
      <c r="N248" s="65" t="s">
        <v>102</v>
      </c>
      <c r="O248" s="66"/>
      <c r="P248" s="66"/>
      <c r="Q248" s="66"/>
      <c r="R248" s="66"/>
      <c r="S248" s="66"/>
      <c r="V248" s="19"/>
      <c r="W248" s="19">
        <f t="shared" si="26"/>
        <v>1.1000000000000001</v>
      </c>
    </row>
    <row r="249" spans="1:23" s="18" customFormat="1" ht="81.75" customHeight="1" x14ac:dyDescent="0.25">
      <c r="A249" s="65" t="s">
        <v>33</v>
      </c>
      <c r="B249" s="69" t="s">
        <v>1288</v>
      </c>
      <c r="C249" s="89">
        <v>120</v>
      </c>
      <c r="D249" s="89">
        <v>100</v>
      </c>
      <c r="E249" s="89">
        <v>80</v>
      </c>
      <c r="F249" s="65" t="s">
        <v>33</v>
      </c>
      <c r="G249" s="69" t="s">
        <v>1288</v>
      </c>
      <c r="H249" s="89">
        <v>133</v>
      </c>
      <c r="I249" s="89">
        <f>D249*1.11</f>
        <v>111.00000000000001</v>
      </c>
      <c r="J249" s="89">
        <f>E249*1.11</f>
        <v>88.800000000000011</v>
      </c>
      <c r="K249" s="76">
        <f t="shared" si="29"/>
        <v>10.833333333333343</v>
      </c>
      <c r="L249" s="92">
        <f t="shared" si="29"/>
        <v>11.000000000000014</v>
      </c>
      <c r="M249" s="93">
        <f t="shared" si="29"/>
        <v>11.000000000000014</v>
      </c>
      <c r="N249" s="65" t="s">
        <v>102</v>
      </c>
      <c r="O249" s="66"/>
      <c r="P249" s="66">
        <v>1.1100000000000001</v>
      </c>
      <c r="Q249" s="66"/>
      <c r="R249" s="66"/>
      <c r="S249" s="66"/>
      <c r="V249" s="19"/>
      <c r="W249" s="19">
        <f t="shared" si="26"/>
        <v>1.1083333333333334</v>
      </c>
    </row>
    <row r="250" spans="1:23" s="18" customFormat="1" ht="49.5" x14ac:dyDescent="0.25">
      <c r="A250" s="65" t="s">
        <v>213</v>
      </c>
      <c r="B250" s="62" t="s">
        <v>51</v>
      </c>
      <c r="C250" s="89">
        <v>100</v>
      </c>
      <c r="D250" s="89">
        <v>90</v>
      </c>
      <c r="E250" s="89">
        <v>80</v>
      </c>
      <c r="F250" s="65" t="s">
        <v>213</v>
      </c>
      <c r="G250" s="62" t="s">
        <v>51</v>
      </c>
      <c r="H250" s="89">
        <f t="shared" si="35"/>
        <v>110.00000000000001</v>
      </c>
      <c r="I250" s="89">
        <f t="shared" si="35"/>
        <v>99.000000000000014</v>
      </c>
      <c r="J250" s="89">
        <f t="shared" si="35"/>
        <v>88</v>
      </c>
      <c r="K250" s="76">
        <f t="shared" si="29"/>
        <v>10.000000000000014</v>
      </c>
      <c r="L250" s="92">
        <f t="shared" si="29"/>
        <v>10.000000000000014</v>
      </c>
      <c r="M250" s="93">
        <f t="shared" si="29"/>
        <v>10.000000000000014</v>
      </c>
      <c r="N250" s="65" t="s">
        <v>102</v>
      </c>
      <c r="O250" s="66"/>
      <c r="P250" s="66"/>
      <c r="Q250" s="66"/>
      <c r="R250" s="66"/>
      <c r="S250" s="66"/>
      <c r="V250" s="19"/>
      <c r="W250" s="19">
        <f t="shared" si="26"/>
        <v>1.1000000000000001</v>
      </c>
    </row>
    <row r="251" spans="1:23" s="18" customFormat="1" ht="16.5" x14ac:dyDescent="0.25">
      <c r="A251" s="65" t="s">
        <v>215</v>
      </c>
      <c r="B251" s="62" t="s">
        <v>53</v>
      </c>
      <c r="C251" s="283">
        <v>80</v>
      </c>
      <c r="D251" s="283"/>
      <c r="E251" s="283"/>
      <c r="F251" s="65" t="s">
        <v>215</v>
      </c>
      <c r="G251" s="62" t="s">
        <v>53</v>
      </c>
      <c r="H251" s="284">
        <f>C251*1.1</f>
        <v>88</v>
      </c>
      <c r="I251" s="285"/>
      <c r="J251" s="286"/>
      <c r="K251" s="284">
        <f t="shared" si="29"/>
        <v>10.000000000000014</v>
      </c>
      <c r="L251" s="285"/>
      <c r="M251" s="286"/>
      <c r="N251" s="65" t="s">
        <v>102</v>
      </c>
      <c r="O251" s="66"/>
      <c r="P251" s="66"/>
      <c r="Q251" s="66"/>
      <c r="R251" s="66"/>
      <c r="S251" s="66"/>
      <c r="V251" s="19"/>
      <c r="W251" s="19">
        <f t="shared" si="26"/>
        <v>1.1000000000000001</v>
      </c>
    </row>
    <row r="252" spans="1:23" ht="16.5" x14ac:dyDescent="0.25">
      <c r="A252" s="82">
        <v>9</v>
      </c>
      <c r="B252" s="69" t="s">
        <v>326</v>
      </c>
      <c r="C252" s="89"/>
      <c r="D252" s="89"/>
      <c r="E252" s="89"/>
      <c r="F252" s="82">
        <v>9</v>
      </c>
      <c r="G252" s="69" t="s">
        <v>326</v>
      </c>
      <c r="H252" s="89"/>
      <c r="I252" s="89"/>
      <c r="J252" s="89"/>
      <c r="K252" s="76"/>
      <c r="L252" s="92"/>
      <c r="M252" s="93"/>
      <c r="N252" s="65"/>
      <c r="O252" s="66"/>
      <c r="P252" s="66"/>
      <c r="Q252" s="66"/>
      <c r="R252" s="66"/>
      <c r="S252" s="66"/>
      <c r="V252" s="14"/>
      <c r="W252" s="14" t="e">
        <f t="shared" si="26"/>
        <v>#DIV/0!</v>
      </c>
    </row>
    <row r="253" spans="1:23" s="18" customFormat="1" ht="49.5" x14ac:dyDescent="0.25">
      <c r="A253" s="65" t="s">
        <v>217</v>
      </c>
      <c r="B253" s="62" t="s">
        <v>327</v>
      </c>
      <c r="C253" s="89">
        <v>110</v>
      </c>
      <c r="D253" s="89">
        <v>90</v>
      </c>
      <c r="E253" s="89">
        <v>80</v>
      </c>
      <c r="F253" s="65" t="s">
        <v>217</v>
      </c>
      <c r="G253" s="62" t="s">
        <v>327</v>
      </c>
      <c r="H253" s="89">
        <v>129</v>
      </c>
      <c r="I253" s="89">
        <f>D253*1.17</f>
        <v>105.3</v>
      </c>
      <c r="J253" s="89">
        <f>E253*1.17</f>
        <v>93.6</v>
      </c>
      <c r="K253" s="76">
        <f t="shared" si="29"/>
        <v>17.272727272727266</v>
      </c>
      <c r="L253" s="92">
        <f t="shared" si="29"/>
        <v>17</v>
      </c>
      <c r="M253" s="93">
        <f t="shared" si="29"/>
        <v>17</v>
      </c>
      <c r="N253" s="65" t="s">
        <v>102</v>
      </c>
      <c r="O253" s="66"/>
      <c r="P253" s="94">
        <f>H253/C253</f>
        <v>1.1727272727272726</v>
      </c>
      <c r="Q253" s="66"/>
      <c r="R253" s="66"/>
      <c r="S253" s="66"/>
      <c r="V253" s="19"/>
      <c r="W253" s="19">
        <f t="shared" si="26"/>
        <v>1.1727272727272726</v>
      </c>
    </row>
    <row r="254" spans="1:23" s="18" customFormat="1" ht="33" x14ac:dyDescent="0.25">
      <c r="A254" s="65" t="s">
        <v>218</v>
      </c>
      <c r="B254" s="62" t="s">
        <v>328</v>
      </c>
      <c r="C254" s="89">
        <v>130</v>
      </c>
      <c r="D254" s="89">
        <v>90</v>
      </c>
      <c r="E254" s="89">
        <v>80</v>
      </c>
      <c r="F254" s="65" t="s">
        <v>218</v>
      </c>
      <c r="G254" s="62" t="s">
        <v>328</v>
      </c>
      <c r="H254" s="89">
        <v>143</v>
      </c>
      <c r="I254" s="89">
        <f t="shared" ref="H254:J257" si="36">D254*1.1</f>
        <v>99.000000000000014</v>
      </c>
      <c r="J254" s="89">
        <f t="shared" si="36"/>
        <v>88</v>
      </c>
      <c r="K254" s="76">
        <f t="shared" si="29"/>
        <v>10.000000000000014</v>
      </c>
      <c r="L254" s="76">
        <f t="shared" si="29"/>
        <v>10.000000000000014</v>
      </c>
      <c r="M254" s="89">
        <f t="shared" si="29"/>
        <v>10.000000000000014</v>
      </c>
      <c r="N254" s="65" t="s">
        <v>102</v>
      </c>
      <c r="O254" s="66"/>
      <c r="P254" s="100">
        <f>H254/C254</f>
        <v>1.1000000000000001</v>
      </c>
      <c r="Q254" s="66"/>
      <c r="R254" s="66"/>
      <c r="S254" s="66"/>
      <c r="V254" s="19"/>
      <c r="W254" s="19">
        <f t="shared" si="26"/>
        <v>1.1000000000000001</v>
      </c>
    </row>
    <row r="255" spans="1:23" s="18" customFormat="1" ht="46.5" customHeight="1" x14ac:dyDescent="0.25">
      <c r="A255" s="65" t="s">
        <v>219</v>
      </c>
      <c r="B255" s="62" t="s">
        <v>329</v>
      </c>
      <c r="C255" s="89">
        <v>110</v>
      </c>
      <c r="D255" s="89">
        <v>90</v>
      </c>
      <c r="E255" s="89">
        <v>80</v>
      </c>
      <c r="F255" s="65" t="s">
        <v>219</v>
      </c>
      <c r="G255" s="62" t="s">
        <v>329</v>
      </c>
      <c r="H255" s="89">
        <v>129</v>
      </c>
      <c r="I255" s="89">
        <f>D255*1.17</f>
        <v>105.3</v>
      </c>
      <c r="J255" s="89">
        <f>E255*1.17</f>
        <v>93.6</v>
      </c>
      <c r="K255" s="76">
        <f t="shared" si="29"/>
        <v>17.272727272727266</v>
      </c>
      <c r="L255" s="76">
        <f t="shared" si="29"/>
        <v>17</v>
      </c>
      <c r="M255" s="89">
        <f t="shared" si="29"/>
        <v>17</v>
      </c>
      <c r="N255" s="65" t="s">
        <v>102</v>
      </c>
      <c r="O255" s="66"/>
      <c r="P255" s="94">
        <f>H255/C255</f>
        <v>1.1727272727272726</v>
      </c>
      <c r="Q255" s="66"/>
      <c r="R255" s="66"/>
      <c r="S255" s="66"/>
      <c r="V255" s="19"/>
      <c r="W255" s="19">
        <f t="shared" si="26"/>
        <v>1.1727272727272726</v>
      </c>
    </row>
    <row r="256" spans="1:23" s="18" customFormat="1" ht="33" x14ac:dyDescent="0.25">
      <c r="A256" s="65" t="s">
        <v>221</v>
      </c>
      <c r="B256" s="62" t="s">
        <v>330</v>
      </c>
      <c r="C256" s="89">
        <v>120</v>
      </c>
      <c r="D256" s="89">
        <v>90</v>
      </c>
      <c r="E256" s="89">
        <v>80</v>
      </c>
      <c r="F256" s="65" t="s">
        <v>221</v>
      </c>
      <c r="G256" s="62" t="s">
        <v>330</v>
      </c>
      <c r="H256" s="89">
        <v>133</v>
      </c>
      <c r="I256" s="89">
        <f>D256*1.11</f>
        <v>99.9</v>
      </c>
      <c r="J256" s="89">
        <f>E256*1.11</f>
        <v>88.800000000000011</v>
      </c>
      <c r="K256" s="76">
        <f t="shared" si="29"/>
        <v>10.833333333333343</v>
      </c>
      <c r="L256" s="76">
        <f t="shared" si="29"/>
        <v>11.000000000000014</v>
      </c>
      <c r="M256" s="89">
        <f t="shared" si="29"/>
        <v>11.000000000000014</v>
      </c>
      <c r="N256" s="65" t="s">
        <v>102</v>
      </c>
      <c r="O256" s="66"/>
      <c r="P256" s="94">
        <f>H256/C256</f>
        <v>1.1083333333333334</v>
      </c>
      <c r="Q256" s="66"/>
      <c r="R256" s="66"/>
      <c r="S256" s="66"/>
      <c r="V256" s="19"/>
      <c r="W256" s="19">
        <f t="shared" si="26"/>
        <v>1.1083333333333334</v>
      </c>
    </row>
    <row r="257" spans="1:23" s="18" customFormat="1" ht="49.5" x14ac:dyDescent="0.25">
      <c r="A257" s="65" t="s">
        <v>222</v>
      </c>
      <c r="B257" s="62" t="s">
        <v>51</v>
      </c>
      <c r="C257" s="89">
        <v>100</v>
      </c>
      <c r="D257" s="89">
        <v>85</v>
      </c>
      <c r="E257" s="89">
        <v>80</v>
      </c>
      <c r="F257" s="65" t="s">
        <v>222</v>
      </c>
      <c r="G257" s="62" t="s">
        <v>51</v>
      </c>
      <c r="H257" s="89">
        <f t="shared" si="36"/>
        <v>110.00000000000001</v>
      </c>
      <c r="I257" s="89">
        <f t="shared" si="36"/>
        <v>93.500000000000014</v>
      </c>
      <c r="J257" s="89">
        <f t="shared" si="36"/>
        <v>88</v>
      </c>
      <c r="K257" s="76">
        <f t="shared" si="29"/>
        <v>10.000000000000014</v>
      </c>
      <c r="L257" s="92">
        <f t="shared" si="29"/>
        <v>10.000000000000014</v>
      </c>
      <c r="M257" s="93">
        <f t="shared" si="29"/>
        <v>10.000000000000014</v>
      </c>
      <c r="N257" s="65" t="s">
        <v>102</v>
      </c>
      <c r="O257" s="66"/>
      <c r="P257" s="66"/>
      <c r="Q257" s="66"/>
      <c r="R257" s="66"/>
      <c r="S257" s="66"/>
      <c r="V257" s="19"/>
      <c r="W257" s="19">
        <f t="shared" si="26"/>
        <v>1.1000000000000001</v>
      </c>
    </row>
    <row r="258" spans="1:23" s="18" customFormat="1" ht="16.5" x14ac:dyDescent="0.25">
      <c r="A258" s="65" t="s">
        <v>225</v>
      </c>
      <c r="B258" s="62" t="s">
        <v>53</v>
      </c>
      <c r="C258" s="283">
        <v>80</v>
      </c>
      <c r="D258" s="283"/>
      <c r="E258" s="283"/>
      <c r="F258" s="65" t="s">
        <v>225</v>
      </c>
      <c r="G258" s="62" t="s">
        <v>53</v>
      </c>
      <c r="H258" s="283">
        <f>C258*1.1</f>
        <v>88</v>
      </c>
      <c r="I258" s="283"/>
      <c r="J258" s="283"/>
      <c r="K258" s="284">
        <f t="shared" si="29"/>
        <v>10.000000000000014</v>
      </c>
      <c r="L258" s="285"/>
      <c r="M258" s="286"/>
      <c r="N258" s="65" t="s">
        <v>102</v>
      </c>
      <c r="O258" s="66"/>
      <c r="P258" s="66"/>
      <c r="Q258" s="66"/>
      <c r="R258" s="66"/>
      <c r="S258" s="66"/>
      <c r="V258" s="19"/>
      <c r="W258" s="19">
        <f t="shared" si="26"/>
        <v>1.1000000000000001</v>
      </c>
    </row>
    <row r="259" spans="1:23" ht="48" customHeight="1" x14ac:dyDescent="0.25">
      <c r="A259" s="82"/>
      <c r="B259" s="62"/>
      <c r="C259" s="90"/>
      <c r="D259" s="90"/>
      <c r="E259" s="90"/>
      <c r="F259" s="82" t="s">
        <v>64</v>
      </c>
      <c r="G259" s="69" t="s">
        <v>331</v>
      </c>
      <c r="H259" s="90"/>
      <c r="I259" s="90"/>
      <c r="J259" s="90"/>
      <c r="K259" s="65"/>
      <c r="L259" s="65"/>
      <c r="M259" s="65"/>
      <c r="N259" s="65"/>
      <c r="O259" s="66"/>
      <c r="P259" s="66"/>
      <c r="Q259" s="66"/>
      <c r="R259" s="66"/>
      <c r="S259" s="66"/>
      <c r="V259" s="14"/>
      <c r="W259" s="14" t="e">
        <f t="shared" si="26"/>
        <v>#DIV/0!</v>
      </c>
    </row>
    <row r="260" spans="1:23" ht="64.5" customHeight="1" x14ac:dyDescent="0.25">
      <c r="A260" s="82"/>
      <c r="B260" s="62"/>
      <c r="C260" s="90"/>
      <c r="D260" s="90"/>
      <c r="E260" s="90"/>
      <c r="F260" s="82">
        <v>1</v>
      </c>
      <c r="G260" s="62" t="s">
        <v>332</v>
      </c>
      <c r="H260" s="89">
        <v>26952</v>
      </c>
      <c r="I260" s="90"/>
      <c r="J260" s="90"/>
      <c r="K260" s="301"/>
      <c r="L260" s="302"/>
      <c r="M260" s="302"/>
      <c r="N260" s="303"/>
      <c r="O260" s="66"/>
      <c r="P260" s="66"/>
      <c r="Q260" s="66"/>
      <c r="R260" s="66"/>
      <c r="S260" s="66"/>
      <c r="V260" s="14"/>
      <c r="W260" s="14" t="e">
        <f t="shared" si="26"/>
        <v>#DIV/0!</v>
      </c>
    </row>
    <row r="261" spans="1:23" ht="68.25" customHeight="1" x14ac:dyDescent="0.25">
      <c r="A261" s="82"/>
      <c r="B261" s="62"/>
      <c r="C261" s="90"/>
      <c r="D261" s="90"/>
      <c r="E261" s="90"/>
      <c r="F261" s="82">
        <v>2</v>
      </c>
      <c r="G261" s="62" t="s">
        <v>333</v>
      </c>
      <c r="H261" s="89">
        <v>25403</v>
      </c>
      <c r="I261" s="90"/>
      <c r="J261" s="90"/>
      <c r="K261" s="301"/>
      <c r="L261" s="302"/>
      <c r="M261" s="302"/>
      <c r="N261" s="303"/>
      <c r="O261" s="66"/>
      <c r="P261" s="66"/>
      <c r="Q261" s="66"/>
      <c r="R261" s="66"/>
      <c r="S261" s="66"/>
      <c r="V261" s="14"/>
      <c r="W261" s="14" t="e">
        <f t="shared" si="26"/>
        <v>#DIV/0!</v>
      </c>
    </row>
    <row r="262" spans="1:23" ht="61.5" customHeight="1" x14ac:dyDescent="0.25">
      <c r="A262" s="82"/>
      <c r="B262" s="62"/>
      <c r="C262" s="90"/>
      <c r="D262" s="90"/>
      <c r="E262" s="90"/>
      <c r="F262" s="82">
        <v>3</v>
      </c>
      <c r="G262" s="62" t="s">
        <v>334</v>
      </c>
      <c r="H262" s="89">
        <v>10825</v>
      </c>
      <c r="I262" s="90"/>
      <c r="J262" s="90"/>
      <c r="K262" s="301"/>
      <c r="L262" s="302"/>
      <c r="M262" s="302"/>
      <c r="N262" s="303"/>
      <c r="O262" s="66"/>
      <c r="P262" s="66"/>
      <c r="Q262" s="66"/>
      <c r="R262" s="66"/>
      <c r="S262" s="66"/>
      <c r="V262" s="14"/>
      <c r="W262" s="14" t="e">
        <f t="shared" si="26"/>
        <v>#DIV/0!</v>
      </c>
    </row>
    <row r="263" spans="1:23" ht="66" customHeight="1" x14ac:dyDescent="0.25">
      <c r="A263" s="82"/>
      <c r="B263" s="62"/>
      <c r="C263" s="90"/>
      <c r="D263" s="90"/>
      <c r="E263" s="90"/>
      <c r="F263" s="82">
        <v>4</v>
      </c>
      <c r="G263" s="62" t="s">
        <v>335</v>
      </c>
      <c r="H263" s="89">
        <v>13323</v>
      </c>
      <c r="I263" s="90"/>
      <c r="J263" s="90"/>
      <c r="K263" s="301"/>
      <c r="L263" s="302"/>
      <c r="M263" s="302"/>
      <c r="N263" s="303"/>
      <c r="O263" s="66"/>
      <c r="P263" s="66"/>
      <c r="Q263" s="66"/>
      <c r="R263" s="66"/>
      <c r="S263" s="66"/>
      <c r="V263" s="14"/>
      <c r="W263" s="14" t="e">
        <f t="shared" ref="W263:W291" si="37">H263/C263</f>
        <v>#DIV/0!</v>
      </c>
    </row>
    <row r="264" spans="1:23" ht="56.25" customHeight="1" x14ac:dyDescent="0.25">
      <c r="A264" s="82"/>
      <c r="B264" s="62"/>
      <c r="C264" s="90"/>
      <c r="D264" s="90"/>
      <c r="E264" s="90"/>
      <c r="F264" s="82">
        <v>5</v>
      </c>
      <c r="G264" s="62" t="s">
        <v>336</v>
      </c>
      <c r="H264" s="89">
        <v>6758</v>
      </c>
      <c r="I264" s="90"/>
      <c r="J264" s="90"/>
      <c r="K264" s="301"/>
      <c r="L264" s="302"/>
      <c r="M264" s="302"/>
      <c r="N264" s="303"/>
      <c r="O264" s="66"/>
      <c r="P264" s="66"/>
      <c r="Q264" s="66"/>
      <c r="R264" s="66"/>
      <c r="S264" s="66"/>
      <c r="V264" s="14"/>
      <c r="W264" s="14" t="e">
        <f t="shared" si="37"/>
        <v>#DIV/0!</v>
      </c>
    </row>
    <row r="265" spans="1:23" ht="63" customHeight="1" x14ac:dyDescent="0.25">
      <c r="A265" s="82"/>
      <c r="B265" s="62"/>
      <c r="C265" s="90"/>
      <c r="D265" s="90"/>
      <c r="E265" s="90"/>
      <c r="F265" s="82">
        <v>6</v>
      </c>
      <c r="G265" s="62" t="s">
        <v>337</v>
      </c>
      <c r="H265" s="89">
        <v>10331</v>
      </c>
      <c r="I265" s="90"/>
      <c r="J265" s="90"/>
      <c r="K265" s="301"/>
      <c r="L265" s="302"/>
      <c r="M265" s="302"/>
      <c r="N265" s="303"/>
      <c r="O265" s="66"/>
      <c r="P265" s="66"/>
      <c r="Q265" s="66"/>
      <c r="R265" s="66"/>
      <c r="S265" s="66"/>
      <c r="V265" s="14"/>
      <c r="W265" s="14" t="e">
        <f t="shared" si="37"/>
        <v>#DIV/0!</v>
      </c>
    </row>
    <row r="266" spans="1:23" ht="49.5" x14ac:dyDescent="0.25">
      <c r="A266" s="82"/>
      <c r="B266" s="62"/>
      <c r="C266" s="90"/>
      <c r="D266" s="90"/>
      <c r="E266" s="90"/>
      <c r="F266" s="82">
        <v>7</v>
      </c>
      <c r="G266" s="62" t="s">
        <v>338</v>
      </c>
      <c r="H266" s="89">
        <v>8324</v>
      </c>
      <c r="I266" s="90"/>
      <c r="J266" s="90"/>
      <c r="K266" s="301"/>
      <c r="L266" s="302"/>
      <c r="M266" s="302"/>
      <c r="N266" s="303"/>
      <c r="O266" s="66"/>
      <c r="P266" s="66"/>
      <c r="Q266" s="66"/>
      <c r="R266" s="66"/>
      <c r="S266" s="66"/>
      <c r="V266" s="14"/>
      <c r="W266" s="14" t="e">
        <f t="shared" si="37"/>
        <v>#DIV/0!</v>
      </c>
    </row>
    <row r="267" spans="1:23" ht="58.5" customHeight="1" x14ac:dyDescent="0.25">
      <c r="A267" s="82"/>
      <c r="B267" s="62"/>
      <c r="C267" s="90"/>
      <c r="D267" s="90"/>
      <c r="E267" s="90"/>
      <c r="F267" s="82">
        <v>8</v>
      </c>
      <c r="G267" s="62" t="s">
        <v>339</v>
      </c>
      <c r="H267" s="89">
        <v>5842</v>
      </c>
      <c r="I267" s="90"/>
      <c r="J267" s="90"/>
      <c r="K267" s="301"/>
      <c r="L267" s="302"/>
      <c r="M267" s="302"/>
      <c r="N267" s="303"/>
      <c r="O267" s="66"/>
      <c r="P267" s="66"/>
      <c r="Q267" s="66"/>
      <c r="R267" s="66"/>
      <c r="S267" s="66"/>
      <c r="V267" s="14"/>
      <c r="W267" s="14" t="e">
        <f t="shared" si="37"/>
        <v>#DIV/0!</v>
      </c>
    </row>
    <row r="268" spans="1:23" ht="63.75" customHeight="1" x14ac:dyDescent="0.25">
      <c r="A268" s="82"/>
      <c r="B268" s="62"/>
      <c r="C268" s="90"/>
      <c r="D268" s="90"/>
      <c r="E268" s="90"/>
      <c r="F268" s="82">
        <v>9</v>
      </c>
      <c r="G268" s="62" t="s">
        <v>340</v>
      </c>
      <c r="H268" s="89">
        <v>5993</v>
      </c>
      <c r="I268" s="90"/>
      <c r="J268" s="90"/>
      <c r="K268" s="301"/>
      <c r="L268" s="302"/>
      <c r="M268" s="302"/>
      <c r="N268" s="303"/>
      <c r="O268" s="66"/>
      <c r="P268" s="66"/>
      <c r="Q268" s="66"/>
      <c r="R268" s="66"/>
      <c r="S268" s="66"/>
      <c r="V268" s="14"/>
      <c r="W268" s="14" t="e">
        <f t="shared" si="37"/>
        <v>#DIV/0!</v>
      </c>
    </row>
    <row r="269" spans="1:23" ht="64.5" customHeight="1" x14ac:dyDescent="0.25">
      <c r="A269" s="82"/>
      <c r="B269" s="62"/>
      <c r="C269" s="90"/>
      <c r="D269" s="90"/>
      <c r="E269" s="90"/>
      <c r="F269" s="82">
        <v>10</v>
      </c>
      <c r="G269" s="62" t="s">
        <v>1037</v>
      </c>
      <c r="H269" s="89">
        <v>4840</v>
      </c>
      <c r="I269" s="90"/>
      <c r="J269" s="90"/>
      <c r="K269" s="301" t="s">
        <v>1289</v>
      </c>
      <c r="L269" s="302"/>
      <c r="M269" s="302"/>
      <c r="N269" s="303"/>
      <c r="O269" s="66"/>
      <c r="P269" s="66"/>
      <c r="Q269" s="66"/>
      <c r="R269" s="66"/>
      <c r="S269" s="66"/>
      <c r="V269" s="14"/>
      <c r="W269" s="14" t="e">
        <f t="shared" si="37"/>
        <v>#DIV/0!</v>
      </c>
    </row>
    <row r="270" spans="1:23" ht="60.75" customHeight="1" x14ac:dyDescent="0.25">
      <c r="A270" s="82"/>
      <c r="B270" s="62"/>
      <c r="C270" s="90"/>
      <c r="D270" s="90"/>
      <c r="E270" s="90"/>
      <c r="F270" s="82">
        <v>11</v>
      </c>
      <c r="G270" s="62" t="s">
        <v>1038</v>
      </c>
      <c r="H270" s="89">
        <v>5082</v>
      </c>
      <c r="I270" s="90"/>
      <c r="J270" s="90"/>
      <c r="K270" s="301" t="s">
        <v>1289</v>
      </c>
      <c r="L270" s="302"/>
      <c r="M270" s="302"/>
      <c r="N270" s="303"/>
      <c r="O270" s="66"/>
      <c r="P270" s="66"/>
      <c r="Q270" s="66"/>
      <c r="R270" s="66"/>
      <c r="S270" s="66"/>
      <c r="V270" s="14"/>
      <c r="W270" s="14" t="e">
        <f t="shared" si="37"/>
        <v>#DIV/0!</v>
      </c>
    </row>
    <row r="271" spans="1:23" ht="49.5" x14ac:dyDescent="0.25">
      <c r="A271" s="82"/>
      <c r="B271" s="62"/>
      <c r="C271" s="90"/>
      <c r="D271" s="90"/>
      <c r="E271" s="90"/>
      <c r="F271" s="82">
        <v>12</v>
      </c>
      <c r="G271" s="62" t="s">
        <v>1039</v>
      </c>
      <c r="H271" s="89">
        <v>4840</v>
      </c>
      <c r="I271" s="90"/>
      <c r="J271" s="90"/>
      <c r="K271" s="301" t="s">
        <v>1290</v>
      </c>
      <c r="L271" s="302"/>
      <c r="M271" s="302"/>
      <c r="N271" s="303"/>
      <c r="O271" s="66"/>
      <c r="P271" s="66"/>
      <c r="Q271" s="66"/>
      <c r="R271" s="66"/>
      <c r="S271" s="66"/>
      <c r="V271" s="14"/>
      <c r="W271" s="14" t="e">
        <f t="shared" si="37"/>
        <v>#DIV/0!</v>
      </c>
    </row>
    <row r="272" spans="1:23" ht="53.25" customHeight="1" x14ac:dyDescent="0.25">
      <c r="A272" s="82"/>
      <c r="B272" s="62"/>
      <c r="C272" s="90"/>
      <c r="D272" s="90"/>
      <c r="E272" s="90"/>
      <c r="F272" s="82">
        <v>13</v>
      </c>
      <c r="G272" s="62" t="s">
        <v>1040</v>
      </c>
      <c r="H272" s="89">
        <v>5082</v>
      </c>
      <c r="I272" s="90"/>
      <c r="J272" s="90"/>
      <c r="K272" s="301" t="s">
        <v>1291</v>
      </c>
      <c r="L272" s="302"/>
      <c r="M272" s="302"/>
      <c r="N272" s="303"/>
      <c r="O272" s="66"/>
      <c r="P272" s="66"/>
      <c r="Q272" s="66"/>
      <c r="R272" s="66"/>
      <c r="S272" s="66"/>
      <c r="V272" s="14"/>
      <c r="W272" s="14" t="e">
        <f t="shared" si="37"/>
        <v>#DIV/0!</v>
      </c>
    </row>
    <row r="273" spans="1:23" ht="29.25" customHeight="1" x14ac:dyDescent="0.25">
      <c r="A273" s="82"/>
      <c r="B273" s="62"/>
      <c r="C273" s="90"/>
      <c r="D273" s="90"/>
      <c r="E273" s="90"/>
      <c r="F273" s="82" t="s">
        <v>75</v>
      </c>
      <c r="G273" s="69" t="s">
        <v>341</v>
      </c>
      <c r="H273" s="90"/>
      <c r="I273" s="90"/>
      <c r="J273" s="90"/>
      <c r="K273" s="301"/>
      <c r="L273" s="302"/>
      <c r="M273" s="302"/>
      <c r="N273" s="303"/>
      <c r="O273" s="66"/>
      <c r="P273" s="66"/>
      <c r="Q273" s="66"/>
      <c r="R273" s="66"/>
      <c r="S273" s="66"/>
      <c r="V273" s="14"/>
      <c r="W273" s="14" t="e">
        <f t="shared" si="37"/>
        <v>#DIV/0!</v>
      </c>
    </row>
    <row r="274" spans="1:23" ht="66" x14ac:dyDescent="0.25">
      <c r="A274" s="82"/>
      <c r="B274" s="62"/>
      <c r="C274" s="90"/>
      <c r="D274" s="90"/>
      <c r="E274" s="90"/>
      <c r="F274" s="82">
        <v>1</v>
      </c>
      <c r="G274" s="62" t="s">
        <v>342</v>
      </c>
      <c r="H274" s="90">
        <v>3661</v>
      </c>
      <c r="I274" s="90"/>
      <c r="J274" s="90"/>
      <c r="K274" s="301" t="s">
        <v>343</v>
      </c>
      <c r="L274" s="302"/>
      <c r="M274" s="302"/>
      <c r="N274" s="303"/>
      <c r="O274" s="66"/>
      <c r="P274" s="66"/>
      <c r="Q274" s="66"/>
      <c r="R274" s="66"/>
      <c r="S274" s="66"/>
      <c r="V274" s="14"/>
      <c r="W274" s="14" t="e">
        <f t="shared" si="37"/>
        <v>#DIV/0!</v>
      </c>
    </row>
    <row r="275" spans="1:23" ht="49.5" x14ac:dyDescent="0.25">
      <c r="A275" s="82"/>
      <c r="B275" s="62"/>
      <c r="C275" s="90"/>
      <c r="D275" s="90"/>
      <c r="E275" s="90"/>
      <c r="F275" s="82">
        <v>2</v>
      </c>
      <c r="G275" s="62" t="s">
        <v>344</v>
      </c>
      <c r="H275" s="90">
        <v>3761</v>
      </c>
      <c r="I275" s="90"/>
      <c r="J275" s="90"/>
      <c r="K275" s="301" t="s">
        <v>343</v>
      </c>
      <c r="L275" s="302"/>
      <c r="M275" s="302"/>
      <c r="N275" s="303"/>
      <c r="O275" s="66"/>
      <c r="P275" s="66"/>
      <c r="Q275" s="66"/>
      <c r="R275" s="66"/>
      <c r="S275" s="66"/>
      <c r="V275" s="14"/>
      <c r="W275" s="14" t="e">
        <f t="shared" si="37"/>
        <v>#DIV/0!</v>
      </c>
    </row>
    <row r="276" spans="1:23" ht="66" x14ac:dyDescent="0.25">
      <c r="A276" s="82"/>
      <c r="B276" s="62"/>
      <c r="C276" s="90"/>
      <c r="D276" s="90"/>
      <c r="E276" s="90"/>
      <c r="F276" s="82">
        <v>3</v>
      </c>
      <c r="G276" s="90" t="s">
        <v>345</v>
      </c>
      <c r="H276" s="90">
        <v>3815</v>
      </c>
      <c r="I276" s="90"/>
      <c r="J276" s="90"/>
      <c r="K276" s="301" t="s">
        <v>343</v>
      </c>
      <c r="L276" s="302"/>
      <c r="M276" s="302"/>
      <c r="N276" s="303"/>
      <c r="O276" s="66"/>
      <c r="P276" s="66"/>
      <c r="Q276" s="66"/>
      <c r="R276" s="66"/>
      <c r="S276" s="66"/>
      <c r="V276" s="14"/>
      <c r="W276" s="14" t="e">
        <f t="shared" si="37"/>
        <v>#DIV/0!</v>
      </c>
    </row>
    <row r="277" spans="1:23" ht="55.5" customHeight="1" x14ac:dyDescent="0.25">
      <c r="A277" s="82"/>
      <c r="B277" s="62"/>
      <c r="C277" s="90"/>
      <c r="D277" s="90"/>
      <c r="E277" s="90"/>
      <c r="F277" s="82">
        <v>4</v>
      </c>
      <c r="G277" s="62" t="s">
        <v>346</v>
      </c>
      <c r="H277" s="90">
        <v>3932</v>
      </c>
      <c r="I277" s="90"/>
      <c r="J277" s="90"/>
      <c r="K277" s="301" t="s">
        <v>343</v>
      </c>
      <c r="L277" s="302"/>
      <c r="M277" s="302"/>
      <c r="N277" s="303"/>
      <c r="O277" s="66"/>
      <c r="P277" s="66"/>
      <c r="Q277" s="66"/>
      <c r="R277" s="66"/>
      <c r="S277" s="66"/>
      <c r="V277" s="14"/>
      <c r="W277" s="14" t="e">
        <f t="shared" si="37"/>
        <v>#DIV/0!</v>
      </c>
    </row>
    <row r="278" spans="1:23" ht="69.75" customHeight="1" x14ac:dyDescent="0.25">
      <c r="A278" s="82"/>
      <c r="B278" s="62"/>
      <c r="C278" s="90"/>
      <c r="D278" s="90"/>
      <c r="E278" s="90"/>
      <c r="F278" s="82">
        <v>5</v>
      </c>
      <c r="G278" s="62" t="s">
        <v>347</v>
      </c>
      <c r="H278" s="89">
        <v>3550</v>
      </c>
      <c r="I278" s="90"/>
      <c r="J278" s="90"/>
      <c r="K278" s="301"/>
      <c r="L278" s="302"/>
      <c r="M278" s="302"/>
      <c r="N278" s="303"/>
      <c r="O278" s="66"/>
      <c r="P278" s="66"/>
      <c r="Q278" s="66"/>
      <c r="R278" s="66"/>
      <c r="S278" s="66"/>
      <c r="V278" s="14"/>
      <c r="W278" s="14" t="e">
        <f t="shared" si="37"/>
        <v>#DIV/0!</v>
      </c>
    </row>
    <row r="279" spans="1:23" ht="57.75" customHeight="1" x14ac:dyDescent="0.25">
      <c r="A279" s="82"/>
      <c r="B279" s="62"/>
      <c r="C279" s="90"/>
      <c r="D279" s="90"/>
      <c r="E279" s="90"/>
      <c r="F279" s="82">
        <v>6</v>
      </c>
      <c r="G279" s="62" t="s">
        <v>348</v>
      </c>
      <c r="H279" s="89">
        <v>3727.5</v>
      </c>
      <c r="I279" s="90"/>
      <c r="J279" s="90"/>
      <c r="K279" s="301"/>
      <c r="L279" s="302"/>
      <c r="M279" s="302"/>
      <c r="N279" s="303"/>
      <c r="O279" s="66"/>
      <c r="P279" s="66"/>
      <c r="Q279" s="66"/>
      <c r="R279" s="66"/>
      <c r="S279" s="66"/>
      <c r="V279" s="14"/>
      <c r="W279" s="14" t="e">
        <f t="shared" si="37"/>
        <v>#DIV/0!</v>
      </c>
    </row>
    <row r="280" spans="1:23" ht="25.5" customHeight="1" x14ac:dyDescent="0.25">
      <c r="A280" s="82"/>
      <c r="B280" s="62"/>
      <c r="C280" s="90"/>
      <c r="D280" s="90"/>
      <c r="E280" s="90"/>
      <c r="F280" s="82" t="s">
        <v>349</v>
      </c>
      <c r="G280" s="69" t="s">
        <v>350</v>
      </c>
      <c r="H280" s="89"/>
      <c r="I280" s="90"/>
      <c r="J280" s="90"/>
      <c r="K280" s="301"/>
      <c r="L280" s="302"/>
      <c r="M280" s="302"/>
      <c r="N280" s="303"/>
      <c r="O280" s="66"/>
      <c r="P280" s="66"/>
      <c r="Q280" s="66"/>
      <c r="R280" s="66"/>
      <c r="S280" s="66"/>
      <c r="V280" s="14"/>
      <c r="W280" s="14" t="e">
        <f t="shared" si="37"/>
        <v>#DIV/0!</v>
      </c>
    </row>
    <row r="281" spans="1:23" ht="81" customHeight="1" x14ac:dyDescent="0.25">
      <c r="A281" s="82"/>
      <c r="B281" s="62"/>
      <c r="C281" s="90"/>
      <c r="D281" s="90"/>
      <c r="E281" s="90"/>
      <c r="F281" s="82">
        <v>1</v>
      </c>
      <c r="G281" s="62" t="s">
        <v>1041</v>
      </c>
      <c r="H281" s="89">
        <v>1180</v>
      </c>
      <c r="I281" s="90"/>
      <c r="J281" s="90"/>
      <c r="K281" s="301"/>
      <c r="L281" s="302"/>
      <c r="M281" s="302"/>
      <c r="N281" s="303"/>
      <c r="O281" s="66"/>
      <c r="P281" s="66"/>
      <c r="Q281" s="66"/>
      <c r="R281" s="66"/>
      <c r="S281" s="66"/>
      <c r="V281" s="14"/>
      <c r="W281" s="14" t="e">
        <f t="shared" si="37"/>
        <v>#DIV/0!</v>
      </c>
    </row>
    <row r="282" spans="1:23" ht="122.25" customHeight="1" x14ac:dyDescent="0.25">
      <c r="A282" s="82"/>
      <c r="B282" s="62"/>
      <c r="C282" s="90"/>
      <c r="D282" s="90"/>
      <c r="E282" s="90"/>
      <c r="F282" s="82">
        <v>2</v>
      </c>
      <c r="G282" s="62" t="s">
        <v>1042</v>
      </c>
      <c r="H282" s="89">
        <v>1120</v>
      </c>
      <c r="I282" s="90"/>
      <c r="J282" s="90"/>
      <c r="K282" s="301"/>
      <c r="L282" s="302"/>
      <c r="M282" s="302"/>
      <c r="N282" s="303"/>
      <c r="O282" s="66"/>
      <c r="P282" s="66"/>
      <c r="Q282" s="66"/>
      <c r="R282" s="66"/>
      <c r="S282" s="66"/>
      <c r="V282" s="14"/>
      <c r="W282" s="14" t="e">
        <f t="shared" si="37"/>
        <v>#DIV/0!</v>
      </c>
    </row>
    <row r="283" spans="1:23" ht="86.25" customHeight="1" x14ac:dyDescent="0.25">
      <c r="A283" s="82"/>
      <c r="B283" s="62"/>
      <c r="C283" s="90"/>
      <c r="D283" s="90"/>
      <c r="E283" s="90"/>
      <c r="F283" s="82">
        <v>3</v>
      </c>
      <c r="G283" s="62" t="s">
        <v>1043</v>
      </c>
      <c r="H283" s="89">
        <v>1239</v>
      </c>
      <c r="I283" s="90"/>
      <c r="J283" s="90"/>
      <c r="K283" s="301"/>
      <c r="L283" s="302"/>
      <c r="M283" s="302"/>
      <c r="N283" s="303"/>
      <c r="O283" s="66"/>
      <c r="P283" s="66"/>
      <c r="Q283" s="66"/>
      <c r="R283" s="66"/>
      <c r="S283" s="66"/>
      <c r="V283" s="14"/>
      <c r="W283" s="14" t="e">
        <f t="shared" si="37"/>
        <v>#DIV/0!</v>
      </c>
    </row>
    <row r="284" spans="1:23" ht="99" x14ac:dyDescent="0.25">
      <c r="A284" s="82"/>
      <c r="B284" s="62"/>
      <c r="C284" s="90"/>
      <c r="D284" s="90"/>
      <c r="E284" s="90"/>
      <c r="F284" s="82">
        <v>4</v>
      </c>
      <c r="G284" s="62" t="s">
        <v>1044</v>
      </c>
      <c r="H284" s="89">
        <v>1176</v>
      </c>
      <c r="I284" s="90"/>
      <c r="J284" s="90"/>
      <c r="K284" s="301"/>
      <c r="L284" s="302"/>
      <c r="M284" s="302"/>
      <c r="N284" s="303"/>
      <c r="O284" s="66"/>
      <c r="P284" s="66"/>
      <c r="Q284" s="66"/>
      <c r="R284" s="66"/>
      <c r="S284" s="66"/>
      <c r="V284" s="14"/>
      <c r="W284" s="14" t="e">
        <f t="shared" si="37"/>
        <v>#DIV/0!</v>
      </c>
    </row>
    <row r="285" spans="1:23" ht="57.75" customHeight="1" x14ac:dyDescent="0.25">
      <c r="A285" s="82"/>
      <c r="B285" s="62"/>
      <c r="C285" s="90"/>
      <c r="D285" s="90"/>
      <c r="E285" s="90"/>
      <c r="F285" s="82" t="s">
        <v>349</v>
      </c>
      <c r="G285" s="69" t="s">
        <v>351</v>
      </c>
      <c r="H285" s="89"/>
      <c r="I285" s="90"/>
      <c r="J285" s="90"/>
      <c r="K285" s="301"/>
      <c r="L285" s="302"/>
      <c r="M285" s="302"/>
      <c r="N285" s="303"/>
      <c r="O285" s="66"/>
      <c r="P285" s="66"/>
      <c r="Q285" s="66"/>
      <c r="R285" s="66"/>
      <c r="S285" s="66"/>
      <c r="V285" s="14"/>
      <c r="W285" s="14" t="e">
        <f t="shared" si="37"/>
        <v>#DIV/0!</v>
      </c>
    </row>
    <row r="286" spans="1:23" ht="63" customHeight="1" x14ac:dyDescent="0.25">
      <c r="A286" s="82"/>
      <c r="B286" s="62"/>
      <c r="C286" s="90"/>
      <c r="D286" s="90"/>
      <c r="E286" s="90"/>
      <c r="F286" s="82">
        <v>1</v>
      </c>
      <c r="G286" s="62" t="s">
        <v>352</v>
      </c>
      <c r="H286" s="89">
        <v>530</v>
      </c>
      <c r="I286" s="90"/>
      <c r="J286" s="90"/>
      <c r="K286" s="301"/>
      <c r="L286" s="302"/>
      <c r="M286" s="302"/>
      <c r="N286" s="303"/>
      <c r="O286" s="66"/>
      <c r="P286" s="66"/>
      <c r="Q286" s="66"/>
      <c r="R286" s="66"/>
      <c r="S286" s="66"/>
      <c r="V286" s="14"/>
      <c r="W286" s="14" t="e">
        <f t="shared" si="37"/>
        <v>#DIV/0!</v>
      </c>
    </row>
    <row r="287" spans="1:23" ht="61.5" customHeight="1" x14ac:dyDescent="0.25">
      <c r="A287" s="82"/>
      <c r="B287" s="62"/>
      <c r="C287" s="90"/>
      <c r="D287" s="90"/>
      <c r="E287" s="90"/>
      <c r="F287" s="65">
        <v>2</v>
      </c>
      <c r="G287" s="62" t="s">
        <v>353</v>
      </c>
      <c r="H287" s="89">
        <v>640</v>
      </c>
      <c r="I287" s="90"/>
      <c r="J287" s="90"/>
      <c r="K287" s="301"/>
      <c r="L287" s="302"/>
      <c r="M287" s="302"/>
      <c r="N287" s="303"/>
      <c r="O287" s="66"/>
      <c r="P287" s="66"/>
      <c r="Q287" s="66"/>
      <c r="R287" s="66"/>
      <c r="S287" s="66"/>
      <c r="V287" s="14"/>
      <c r="W287" s="14" t="e">
        <f t="shared" si="37"/>
        <v>#DIV/0!</v>
      </c>
    </row>
    <row r="288" spans="1:23" ht="59.25" customHeight="1" x14ac:dyDescent="0.25">
      <c r="A288" s="82"/>
      <c r="B288" s="62"/>
      <c r="C288" s="90"/>
      <c r="D288" s="90"/>
      <c r="E288" s="90"/>
      <c r="F288" s="82" t="s">
        <v>354</v>
      </c>
      <c r="G288" s="69" t="s">
        <v>355</v>
      </c>
      <c r="H288" s="114"/>
      <c r="I288" s="90"/>
      <c r="J288" s="90"/>
      <c r="K288" s="301"/>
      <c r="L288" s="302"/>
      <c r="M288" s="302"/>
      <c r="N288" s="303"/>
      <c r="O288" s="66"/>
      <c r="P288" s="66"/>
      <c r="Q288" s="66"/>
      <c r="R288" s="66"/>
      <c r="S288" s="66"/>
      <c r="V288" s="14"/>
      <c r="W288" s="14" t="e">
        <f t="shared" si="37"/>
        <v>#DIV/0!</v>
      </c>
    </row>
    <row r="289" spans="1:23" ht="58.5" customHeight="1" x14ac:dyDescent="0.25">
      <c r="A289" s="82"/>
      <c r="B289" s="62"/>
      <c r="C289" s="90"/>
      <c r="D289" s="90"/>
      <c r="E289" s="90"/>
      <c r="F289" s="82">
        <v>1</v>
      </c>
      <c r="G289" s="62" t="s">
        <v>356</v>
      </c>
      <c r="H289" s="89">
        <v>900</v>
      </c>
      <c r="I289" s="90"/>
      <c r="J289" s="90"/>
      <c r="K289" s="301"/>
      <c r="L289" s="302"/>
      <c r="M289" s="302"/>
      <c r="N289" s="303"/>
      <c r="O289" s="66"/>
      <c r="P289" s="66"/>
      <c r="Q289" s="66"/>
      <c r="R289" s="66"/>
      <c r="S289" s="66"/>
      <c r="V289" s="14"/>
      <c r="W289" s="14" t="e">
        <f t="shared" si="37"/>
        <v>#DIV/0!</v>
      </c>
    </row>
    <row r="290" spans="1:23" ht="57.75" customHeight="1" x14ac:dyDescent="0.25">
      <c r="A290" s="82"/>
      <c r="B290" s="62"/>
      <c r="C290" s="90"/>
      <c r="D290" s="90"/>
      <c r="E290" s="90"/>
      <c r="F290" s="82">
        <v>2</v>
      </c>
      <c r="G290" s="62" t="s">
        <v>357</v>
      </c>
      <c r="H290" s="89">
        <v>945</v>
      </c>
      <c r="I290" s="90"/>
      <c r="J290" s="90"/>
      <c r="K290" s="301"/>
      <c r="L290" s="302"/>
      <c r="M290" s="302"/>
      <c r="N290" s="303"/>
      <c r="O290" s="66"/>
      <c r="P290" s="66"/>
      <c r="Q290" s="66"/>
      <c r="R290" s="66"/>
      <c r="S290" s="66"/>
      <c r="V290" s="14"/>
      <c r="W290" s="14" t="e">
        <f t="shared" si="37"/>
        <v>#DIV/0!</v>
      </c>
    </row>
    <row r="291" spans="1:23" ht="57" customHeight="1" x14ac:dyDescent="0.25">
      <c r="A291" s="82"/>
      <c r="B291" s="62"/>
      <c r="C291" s="90"/>
      <c r="D291" s="90"/>
      <c r="E291" s="90"/>
      <c r="F291" s="82">
        <v>3</v>
      </c>
      <c r="G291" s="62" t="s">
        <v>358</v>
      </c>
      <c r="H291" s="90">
        <v>945</v>
      </c>
      <c r="I291" s="90"/>
      <c r="J291" s="90"/>
      <c r="K291" s="301"/>
      <c r="L291" s="302"/>
      <c r="M291" s="302"/>
      <c r="N291" s="303"/>
      <c r="O291" s="66"/>
      <c r="P291" s="66"/>
      <c r="Q291" s="66"/>
      <c r="R291" s="66"/>
      <c r="S291" s="66"/>
      <c r="V291" s="14"/>
      <c r="W291" s="14" t="e">
        <f t="shared" si="37"/>
        <v>#DIV/0!</v>
      </c>
    </row>
  </sheetData>
  <autoFilter ref="A4:W291"/>
  <mergeCells count="93">
    <mergeCell ref="K287:N287"/>
    <mergeCell ref="K288:N288"/>
    <mergeCell ref="K289:N289"/>
    <mergeCell ref="K290:N290"/>
    <mergeCell ref="K291:N291"/>
    <mergeCell ref="K286:N286"/>
    <mergeCell ref="K275:N275"/>
    <mergeCell ref="K276:N276"/>
    <mergeCell ref="K277:N277"/>
    <mergeCell ref="K278:N278"/>
    <mergeCell ref="K279:N279"/>
    <mergeCell ref="K280:N280"/>
    <mergeCell ref="K281:N281"/>
    <mergeCell ref="K282:N282"/>
    <mergeCell ref="K283:N283"/>
    <mergeCell ref="K284:N284"/>
    <mergeCell ref="K285:N285"/>
    <mergeCell ref="K274:N274"/>
    <mergeCell ref="K263:N263"/>
    <mergeCell ref="K264:N264"/>
    <mergeCell ref="K265:N265"/>
    <mergeCell ref="K266:N266"/>
    <mergeCell ref="K267:N267"/>
    <mergeCell ref="K268:N268"/>
    <mergeCell ref="K269:N269"/>
    <mergeCell ref="K270:N270"/>
    <mergeCell ref="K271:N271"/>
    <mergeCell ref="K272:N272"/>
    <mergeCell ref="K273:N273"/>
    <mergeCell ref="C236:E236"/>
    <mergeCell ref="H236:J236"/>
    <mergeCell ref="K236:M236"/>
    <mergeCell ref="K262:N262"/>
    <mergeCell ref="C245:E245"/>
    <mergeCell ref="H245:J245"/>
    <mergeCell ref="K245:M245"/>
    <mergeCell ref="C251:E251"/>
    <mergeCell ref="H251:J251"/>
    <mergeCell ref="K251:M251"/>
    <mergeCell ref="C258:E258"/>
    <mergeCell ref="H258:J258"/>
    <mergeCell ref="K258:M258"/>
    <mergeCell ref="K260:N260"/>
    <mergeCell ref="K261:N261"/>
    <mergeCell ref="C222:E222"/>
    <mergeCell ref="H222:J222"/>
    <mergeCell ref="K222:M222"/>
    <mergeCell ref="H206:J206"/>
    <mergeCell ref="C228:E228"/>
    <mergeCell ref="H228:J228"/>
    <mergeCell ref="K228:M228"/>
    <mergeCell ref="A187:A189"/>
    <mergeCell ref="F187:F189"/>
    <mergeCell ref="C206:E206"/>
    <mergeCell ref="K206:M206"/>
    <mergeCell ref="C213:E213"/>
    <mergeCell ref="H213:J213"/>
    <mergeCell ref="K213:M213"/>
    <mergeCell ref="A143:A145"/>
    <mergeCell ref="F143:F145"/>
    <mergeCell ref="A163:A165"/>
    <mergeCell ref="F163:F165"/>
    <mergeCell ref="A177:A179"/>
    <mergeCell ref="F177:F179"/>
    <mergeCell ref="A107:A109"/>
    <mergeCell ref="F107:F109"/>
    <mergeCell ref="A119:A121"/>
    <mergeCell ref="F119:F121"/>
    <mergeCell ref="A127:A129"/>
    <mergeCell ref="F127:F129"/>
    <mergeCell ref="A65:A67"/>
    <mergeCell ref="F65:F67"/>
    <mergeCell ref="A77:A79"/>
    <mergeCell ref="F77:F79"/>
    <mergeCell ref="A89:A92"/>
    <mergeCell ref="F89:F92"/>
    <mergeCell ref="K3:M3"/>
    <mergeCell ref="N3:N4"/>
    <mergeCell ref="O3:O4"/>
    <mergeCell ref="A49:A51"/>
    <mergeCell ref="F49:F51"/>
    <mergeCell ref="A25:A27"/>
    <mergeCell ref="F25:F27"/>
    <mergeCell ref="A1:E1"/>
    <mergeCell ref="F1:J1"/>
    <mergeCell ref="C2:E2"/>
    <mergeCell ref="H2:J2"/>
    <mergeCell ref="A3:A4"/>
    <mergeCell ref="B3:B4"/>
    <mergeCell ref="C3:E3"/>
    <mergeCell ref="F3:F4"/>
    <mergeCell ref="G3:G4"/>
    <mergeCell ref="H3:J3"/>
  </mergeCells>
  <printOptions horizontalCentered="1"/>
  <pageMargins left="0.28740157500000002" right="0.140551181" top="0.49055118110236201" bottom="0.140551181" header="0.118110236220472" footer="0.118110236220472"/>
  <pageSetup firstPageNumber="4" orientation="portrait" useFirstPageNumber="1" r:id="rId1"/>
  <headerFooter>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4"/>
  <sheetViews>
    <sheetView topLeftCell="G79" zoomScaleNormal="100" workbookViewId="0">
      <selection activeCell="S7" sqref="S7"/>
    </sheetView>
  </sheetViews>
  <sheetFormatPr defaultRowHeight="16.5" x14ac:dyDescent="0.25"/>
  <cols>
    <col min="1" max="1" width="6.28515625" style="118" hidden="1" customWidth="1"/>
    <col min="2" max="3" width="45.42578125" style="118" hidden="1" customWidth="1"/>
    <col min="4" max="4" width="8.5703125" style="133" hidden="1" customWidth="1"/>
    <col min="5" max="5" width="8.28515625" style="118" hidden="1" customWidth="1"/>
    <col min="6" max="6" width="0.42578125" style="118" hidden="1" customWidth="1"/>
    <col min="7" max="7" width="6.85546875" style="118" customWidth="1"/>
    <col min="8" max="8" width="56.42578125" style="118" customWidth="1"/>
    <col min="9" max="9" width="13.5703125" style="133" customWidth="1"/>
    <col min="10" max="10" width="14.5703125" style="118" customWidth="1"/>
    <col min="11" max="11" width="14.140625" style="118" customWidth="1"/>
    <col min="12" max="12" width="51.5703125" style="118" hidden="1" customWidth="1"/>
    <col min="13" max="13" width="23.140625" style="118" hidden="1" customWidth="1"/>
    <col min="14" max="16" width="0" style="118" hidden="1" customWidth="1"/>
    <col min="17" max="256" width="9.140625" style="118"/>
    <col min="257" max="257" width="6.28515625" style="118" customWidth="1"/>
    <col min="258" max="259" width="45.42578125" style="118" customWidth="1"/>
    <col min="260" max="260" width="8.5703125" style="118" customWidth="1"/>
    <col min="261" max="261" width="8.28515625" style="118" customWidth="1"/>
    <col min="262" max="262" width="8.5703125" style="118" customWidth="1"/>
    <col min="263" max="263" width="6.28515625" style="118" customWidth="1"/>
    <col min="264" max="264" width="47.28515625" style="118" customWidth="1"/>
    <col min="265" max="265" width="9.28515625" style="118" customWidth="1"/>
    <col min="266" max="266" width="11.28515625" style="118" customWidth="1"/>
    <col min="267" max="267" width="9.140625" style="118" customWidth="1"/>
    <col min="268" max="268" width="51.5703125" style="118" customWidth="1"/>
    <col min="269" max="512" width="9.140625" style="118"/>
    <col min="513" max="513" width="6.28515625" style="118" customWidth="1"/>
    <col min="514" max="515" width="45.42578125" style="118" customWidth="1"/>
    <col min="516" max="516" width="8.5703125" style="118" customWidth="1"/>
    <col min="517" max="517" width="8.28515625" style="118" customWidth="1"/>
    <col min="518" max="518" width="8.5703125" style="118" customWidth="1"/>
    <col min="519" max="519" width="6.28515625" style="118" customWidth="1"/>
    <col min="520" max="520" width="47.28515625" style="118" customWidth="1"/>
    <col min="521" max="521" width="9.28515625" style="118" customWidth="1"/>
    <col min="522" max="522" width="11.28515625" style="118" customWidth="1"/>
    <col min="523" max="523" width="9.140625" style="118" customWidth="1"/>
    <col min="524" max="524" width="51.5703125" style="118" customWidth="1"/>
    <col min="525" max="768" width="9.140625" style="118"/>
    <col min="769" max="769" width="6.28515625" style="118" customWidth="1"/>
    <col min="770" max="771" width="45.42578125" style="118" customWidth="1"/>
    <col min="772" max="772" width="8.5703125" style="118" customWidth="1"/>
    <col min="773" max="773" width="8.28515625" style="118" customWidth="1"/>
    <col min="774" max="774" width="8.5703125" style="118" customWidth="1"/>
    <col min="775" max="775" width="6.28515625" style="118" customWidth="1"/>
    <col min="776" max="776" width="47.28515625" style="118" customWidth="1"/>
    <col min="777" max="777" width="9.28515625" style="118" customWidth="1"/>
    <col min="778" max="778" width="11.28515625" style="118" customWidth="1"/>
    <col min="779" max="779" width="9.140625" style="118" customWidth="1"/>
    <col min="780" max="780" width="51.5703125" style="118" customWidth="1"/>
    <col min="781" max="1024" width="9.140625" style="118"/>
    <col min="1025" max="1025" width="6.28515625" style="118" customWidth="1"/>
    <col min="1026" max="1027" width="45.42578125" style="118" customWidth="1"/>
    <col min="1028" max="1028" width="8.5703125" style="118" customWidth="1"/>
    <col min="1029" max="1029" width="8.28515625" style="118" customWidth="1"/>
    <col min="1030" max="1030" width="8.5703125" style="118" customWidth="1"/>
    <col min="1031" max="1031" width="6.28515625" style="118" customWidth="1"/>
    <col min="1032" max="1032" width="47.28515625" style="118" customWidth="1"/>
    <col min="1033" max="1033" width="9.28515625" style="118" customWidth="1"/>
    <col min="1034" max="1034" width="11.28515625" style="118" customWidth="1"/>
    <col min="1035" max="1035" width="9.140625" style="118" customWidth="1"/>
    <col min="1036" max="1036" width="51.5703125" style="118" customWidth="1"/>
    <col min="1037" max="1280" width="9.140625" style="118"/>
    <col min="1281" max="1281" width="6.28515625" style="118" customWidth="1"/>
    <col min="1282" max="1283" width="45.42578125" style="118" customWidth="1"/>
    <col min="1284" max="1284" width="8.5703125" style="118" customWidth="1"/>
    <col min="1285" max="1285" width="8.28515625" style="118" customWidth="1"/>
    <col min="1286" max="1286" width="8.5703125" style="118" customWidth="1"/>
    <col min="1287" max="1287" width="6.28515625" style="118" customWidth="1"/>
    <col min="1288" max="1288" width="47.28515625" style="118" customWidth="1"/>
    <col min="1289" max="1289" width="9.28515625" style="118" customWidth="1"/>
    <col min="1290" max="1290" width="11.28515625" style="118" customWidth="1"/>
    <col min="1291" max="1291" width="9.140625" style="118" customWidth="1"/>
    <col min="1292" max="1292" width="51.5703125" style="118" customWidth="1"/>
    <col min="1293" max="1536" width="9.140625" style="118"/>
    <col min="1537" max="1537" width="6.28515625" style="118" customWidth="1"/>
    <col min="1538" max="1539" width="45.42578125" style="118" customWidth="1"/>
    <col min="1540" max="1540" width="8.5703125" style="118" customWidth="1"/>
    <col min="1541" max="1541" width="8.28515625" style="118" customWidth="1"/>
    <col min="1542" max="1542" width="8.5703125" style="118" customWidth="1"/>
    <col min="1543" max="1543" width="6.28515625" style="118" customWidth="1"/>
    <col min="1544" max="1544" width="47.28515625" style="118" customWidth="1"/>
    <col min="1545" max="1545" width="9.28515625" style="118" customWidth="1"/>
    <col min="1546" max="1546" width="11.28515625" style="118" customWidth="1"/>
    <col min="1547" max="1547" width="9.140625" style="118" customWidth="1"/>
    <col min="1548" max="1548" width="51.5703125" style="118" customWidth="1"/>
    <col min="1549" max="1792" width="9.140625" style="118"/>
    <col min="1793" max="1793" width="6.28515625" style="118" customWidth="1"/>
    <col min="1794" max="1795" width="45.42578125" style="118" customWidth="1"/>
    <col min="1796" max="1796" width="8.5703125" style="118" customWidth="1"/>
    <col min="1797" max="1797" width="8.28515625" style="118" customWidth="1"/>
    <col min="1798" max="1798" width="8.5703125" style="118" customWidth="1"/>
    <col min="1799" max="1799" width="6.28515625" style="118" customWidth="1"/>
    <col min="1800" max="1800" width="47.28515625" style="118" customWidth="1"/>
    <col min="1801" max="1801" width="9.28515625" style="118" customWidth="1"/>
    <col min="1802" max="1802" width="11.28515625" style="118" customWidth="1"/>
    <col min="1803" max="1803" width="9.140625" style="118" customWidth="1"/>
    <col min="1804" max="1804" width="51.5703125" style="118" customWidth="1"/>
    <col min="1805" max="2048" width="9.140625" style="118"/>
    <col min="2049" max="2049" width="6.28515625" style="118" customWidth="1"/>
    <col min="2050" max="2051" width="45.42578125" style="118" customWidth="1"/>
    <col min="2052" max="2052" width="8.5703125" style="118" customWidth="1"/>
    <col min="2053" max="2053" width="8.28515625" style="118" customWidth="1"/>
    <col min="2054" max="2054" width="8.5703125" style="118" customWidth="1"/>
    <col min="2055" max="2055" width="6.28515625" style="118" customWidth="1"/>
    <col min="2056" max="2056" width="47.28515625" style="118" customWidth="1"/>
    <col min="2057" max="2057" width="9.28515625" style="118" customWidth="1"/>
    <col min="2058" max="2058" width="11.28515625" style="118" customWidth="1"/>
    <col min="2059" max="2059" width="9.140625" style="118" customWidth="1"/>
    <col min="2060" max="2060" width="51.5703125" style="118" customWidth="1"/>
    <col min="2061" max="2304" width="9.140625" style="118"/>
    <col min="2305" max="2305" width="6.28515625" style="118" customWidth="1"/>
    <col min="2306" max="2307" width="45.42578125" style="118" customWidth="1"/>
    <col min="2308" max="2308" width="8.5703125" style="118" customWidth="1"/>
    <col min="2309" max="2309" width="8.28515625" style="118" customWidth="1"/>
    <col min="2310" max="2310" width="8.5703125" style="118" customWidth="1"/>
    <col min="2311" max="2311" width="6.28515625" style="118" customWidth="1"/>
    <col min="2312" max="2312" width="47.28515625" style="118" customWidth="1"/>
    <col min="2313" max="2313" width="9.28515625" style="118" customWidth="1"/>
    <col min="2314" max="2314" width="11.28515625" style="118" customWidth="1"/>
    <col min="2315" max="2315" width="9.140625" style="118" customWidth="1"/>
    <col min="2316" max="2316" width="51.5703125" style="118" customWidth="1"/>
    <col min="2317" max="2560" width="9.140625" style="118"/>
    <col min="2561" max="2561" width="6.28515625" style="118" customWidth="1"/>
    <col min="2562" max="2563" width="45.42578125" style="118" customWidth="1"/>
    <col min="2564" max="2564" width="8.5703125" style="118" customWidth="1"/>
    <col min="2565" max="2565" width="8.28515625" style="118" customWidth="1"/>
    <col min="2566" max="2566" width="8.5703125" style="118" customWidth="1"/>
    <col min="2567" max="2567" width="6.28515625" style="118" customWidth="1"/>
    <col min="2568" max="2568" width="47.28515625" style="118" customWidth="1"/>
    <col min="2569" max="2569" width="9.28515625" style="118" customWidth="1"/>
    <col min="2570" max="2570" width="11.28515625" style="118" customWidth="1"/>
    <col min="2571" max="2571" width="9.140625" style="118" customWidth="1"/>
    <col min="2572" max="2572" width="51.5703125" style="118" customWidth="1"/>
    <col min="2573" max="2816" width="9.140625" style="118"/>
    <col min="2817" max="2817" width="6.28515625" style="118" customWidth="1"/>
    <col min="2818" max="2819" width="45.42578125" style="118" customWidth="1"/>
    <col min="2820" max="2820" width="8.5703125" style="118" customWidth="1"/>
    <col min="2821" max="2821" width="8.28515625" style="118" customWidth="1"/>
    <col min="2822" max="2822" width="8.5703125" style="118" customWidth="1"/>
    <col min="2823" max="2823" width="6.28515625" style="118" customWidth="1"/>
    <col min="2824" max="2824" width="47.28515625" style="118" customWidth="1"/>
    <col min="2825" max="2825" width="9.28515625" style="118" customWidth="1"/>
    <col min="2826" max="2826" width="11.28515625" style="118" customWidth="1"/>
    <col min="2827" max="2827" width="9.140625" style="118" customWidth="1"/>
    <col min="2828" max="2828" width="51.5703125" style="118" customWidth="1"/>
    <col min="2829" max="3072" width="9.140625" style="118"/>
    <col min="3073" max="3073" width="6.28515625" style="118" customWidth="1"/>
    <col min="3074" max="3075" width="45.42578125" style="118" customWidth="1"/>
    <col min="3076" max="3076" width="8.5703125" style="118" customWidth="1"/>
    <col min="3077" max="3077" width="8.28515625" style="118" customWidth="1"/>
    <col min="3078" max="3078" width="8.5703125" style="118" customWidth="1"/>
    <col min="3079" max="3079" width="6.28515625" style="118" customWidth="1"/>
    <col min="3080" max="3080" width="47.28515625" style="118" customWidth="1"/>
    <col min="3081" max="3081" width="9.28515625" style="118" customWidth="1"/>
    <col min="3082" max="3082" width="11.28515625" style="118" customWidth="1"/>
    <col min="3083" max="3083" width="9.140625" style="118" customWidth="1"/>
    <col min="3084" max="3084" width="51.5703125" style="118" customWidth="1"/>
    <col min="3085" max="3328" width="9.140625" style="118"/>
    <col min="3329" max="3329" width="6.28515625" style="118" customWidth="1"/>
    <col min="3330" max="3331" width="45.42578125" style="118" customWidth="1"/>
    <col min="3332" max="3332" width="8.5703125" style="118" customWidth="1"/>
    <col min="3333" max="3333" width="8.28515625" style="118" customWidth="1"/>
    <col min="3334" max="3334" width="8.5703125" style="118" customWidth="1"/>
    <col min="3335" max="3335" width="6.28515625" style="118" customWidth="1"/>
    <col min="3336" max="3336" width="47.28515625" style="118" customWidth="1"/>
    <col min="3337" max="3337" width="9.28515625" style="118" customWidth="1"/>
    <col min="3338" max="3338" width="11.28515625" style="118" customWidth="1"/>
    <col min="3339" max="3339" width="9.140625" style="118" customWidth="1"/>
    <col min="3340" max="3340" width="51.5703125" style="118" customWidth="1"/>
    <col min="3341" max="3584" width="9.140625" style="118"/>
    <col min="3585" max="3585" width="6.28515625" style="118" customWidth="1"/>
    <col min="3586" max="3587" width="45.42578125" style="118" customWidth="1"/>
    <col min="3588" max="3588" width="8.5703125" style="118" customWidth="1"/>
    <col min="3589" max="3589" width="8.28515625" style="118" customWidth="1"/>
    <col min="3590" max="3590" width="8.5703125" style="118" customWidth="1"/>
    <col min="3591" max="3591" width="6.28515625" style="118" customWidth="1"/>
    <col min="3592" max="3592" width="47.28515625" style="118" customWidth="1"/>
    <col min="3593" max="3593" width="9.28515625" style="118" customWidth="1"/>
    <col min="3594" max="3594" width="11.28515625" style="118" customWidth="1"/>
    <col min="3595" max="3595" width="9.140625" style="118" customWidth="1"/>
    <col min="3596" max="3596" width="51.5703125" style="118" customWidth="1"/>
    <col min="3597" max="3840" width="9.140625" style="118"/>
    <col min="3841" max="3841" width="6.28515625" style="118" customWidth="1"/>
    <col min="3842" max="3843" width="45.42578125" style="118" customWidth="1"/>
    <col min="3844" max="3844" width="8.5703125" style="118" customWidth="1"/>
    <col min="3845" max="3845" width="8.28515625" style="118" customWidth="1"/>
    <col min="3846" max="3846" width="8.5703125" style="118" customWidth="1"/>
    <col min="3847" max="3847" width="6.28515625" style="118" customWidth="1"/>
    <col min="3848" max="3848" width="47.28515625" style="118" customWidth="1"/>
    <col min="3849" max="3849" width="9.28515625" style="118" customWidth="1"/>
    <col min="3850" max="3850" width="11.28515625" style="118" customWidth="1"/>
    <col min="3851" max="3851" width="9.140625" style="118" customWidth="1"/>
    <col min="3852" max="3852" width="51.5703125" style="118" customWidth="1"/>
    <col min="3853" max="4096" width="9.140625" style="118"/>
    <col min="4097" max="4097" width="6.28515625" style="118" customWidth="1"/>
    <col min="4098" max="4099" width="45.42578125" style="118" customWidth="1"/>
    <col min="4100" max="4100" width="8.5703125" style="118" customWidth="1"/>
    <col min="4101" max="4101" width="8.28515625" style="118" customWidth="1"/>
    <col min="4102" max="4102" width="8.5703125" style="118" customWidth="1"/>
    <col min="4103" max="4103" width="6.28515625" style="118" customWidth="1"/>
    <col min="4104" max="4104" width="47.28515625" style="118" customWidth="1"/>
    <col min="4105" max="4105" width="9.28515625" style="118" customWidth="1"/>
    <col min="4106" max="4106" width="11.28515625" style="118" customWidth="1"/>
    <col min="4107" max="4107" width="9.140625" style="118" customWidth="1"/>
    <col min="4108" max="4108" width="51.5703125" style="118" customWidth="1"/>
    <col min="4109" max="4352" width="9.140625" style="118"/>
    <col min="4353" max="4353" width="6.28515625" style="118" customWidth="1"/>
    <col min="4354" max="4355" width="45.42578125" style="118" customWidth="1"/>
    <col min="4356" max="4356" width="8.5703125" style="118" customWidth="1"/>
    <col min="4357" max="4357" width="8.28515625" style="118" customWidth="1"/>
    <col min="4358" max="4358" width="8.5703125" style="118" customWidth="1"/>
    <col min="4359" max="4359" width="6.28515625" style="118" customWidth="1"/>
    <col min="4360" max="4360" width="47.28515625" style="118" customWidth="1"/>
    <col min="4361" max="4361" width="9.28515625" style="118" customWidth="1"/>
    <col min="4362" max="4362" width="11.28515625" style="118" customWidth="1"/>
    <col min="4363" max="4363" width="9.140625" style="118" customWidth="1"/>
    <col min="4364" max="4364" width="51.5703125" style="118" customWidth="1"/>
    <col min="4365" max="4608" width="9.140625" style="118"/>
    <col min="4609" max="4609" width="6.28515625" style="118" customWidth="1"/>
    <col min="4610" max="4611" width="45.42578125" style="118" customWidth="1"/>
    <col min="4612" max="4612" width="8.5703125" style="118" customWidth="1"/>
    <col min="4613" max="4613" width="8.28515625" style="118" customWidth="1"/>
    <col min="4614" max="4614" width="8.5703125" style="118" customWidth="1"/>
    <col min="4615" max="4615" width="6.28515625" style="118" customWidth="1"/>
    <col min="4616" max="4616" width="47.28515625" style="118" customWidth="1"/>
    <col min="4617" max="4617" width="9.28515625" style="118" customWidth="1"/>
    <col min="4618" max="4618" width="11.28515625" style="118" customWidth="1"/>
    <col min="4619" max="4619" width="9.140625" style="118" customWidth="1"/>
    <col min="4620" max="4620" width="51.5703125" style="118" customWidth="1"/>
    <col min="4621" max="4864" width="9.140625" style="118"/>
    <col min="4865" max="4865" width="6.28515625" style="118" customWidth="1"/>
    <col min="4866" max="4867" width="45.42578125" style="118" customWidth="1"/>
    <col min="4868" max="4868" width="8.5703125" style="118" customWidth="1"/>
    <col min="4869" max="4869" width="8.28515625" style="118" customWidth="1"/>
    <col min="4870" max="4870" width="8.5703125" style="118" customWidth="1"/>
    <col min="4871" max="4871" width="6.28515625" style="118" customWidth="1"/>
    <col min="4872" max="4872" width="47.28515625" style="118" customWidth="1"/>
    <col min="4873" max="4873" width="9.28515625" style="118" customWidth="1"/>
    <col min="4874" max="4874" width="11.28515625" style="118" customWidth="1"/>
    <col min="4875" max="4875" width="9.140625" style="118" customWidth="1"/>
    <col min="4876" max="4876" width="51.5703125" style="118" customWidth="1"/>
    <col min="4877" max="5120" width="9.140625" style="118"/>
    <col min="5121" max="5121" width="6.28515625" style="118" customWidth="1"/>
    <col min="5122" max="5123" width="45.42578125" style="118" customWidth="1"/>
    <col min="5124" max="5124" width="8.5703125" style="118" customWidth="1"/>
    <col min="5125" max="5125" width="8.28515625" style="118" customWidth="1"/>
    <col min="5126" max="5126" width="8.5703125" style="118" customWidth="1"/>
    <col min="5127" max="5127" width="6.28515625" style="118" customWidth="1"/>
    <col min="5128" max="5128" width="47.28515625" style="118" customWidth="1"/>
    <col min="5129" max="5129" width="9.28515625" style="118" customWidth="1"/>
    <col min="5130" max="5130" width="11.28515625" style="118" customWidth="1"/>
    <col min="5131" max="5131" width="9.140625" style="118" customWidth="1"/>
    <col min="5132" max="5132" width="51.5703125" style="118" customWidth="1"/>
    <col min="5133" max="5376" width="9.140625" style="118"/>
    <col min="5377" max="5377" width="6.28515625" style="118" customWidth="1"/>
    <col min="5378" max="5379" width="45.42578125" style="118" customWidth="1"/>
    <col min="5380" max="5380" width="8.5703125" style="118" customWidth="1"/>
    <col min="5381" max="5381" width="8.28515625" style="118" customWidth="1"/>
    <col min="5382" max="5382" width="8.5703125" style="118" customWidth="1"/>
    <col min="5383" max="5383" width="6.28515625" style="118" customWidth="1"/>
    <col min="5384" max="5384" width="47.28515625" style="118" customWidth="1"/>
    <col min="5385" max="5385" width="9.28515625" style="118" customWidth="1"/>
    <col min="5386" max="5386" width="11.28515625" style="118" customWidth="1"/>
    <col min="5387" max="5387" width="9.140625" style="118" customWidth="1"/>
    <col min="5388" max="5388" width="51.5703125" style="118" customWidth="1"/>
    <col min="5389" max="5632" width="9.140625" style="118"/>
    <col min="5633" max="5633" width="6.28515625" style="118" customWidth="1"/>
    <col min="5634" max="5635" width="45.42578125" style="118" customWidth="1"/>
    <col min="5636" max="5636" width="8.5703125" style="118" customWidth="1"/>
    <col min="5637" max="5637" width="8.28515625" style="118" customWidth="1"/>
    <col min="5638" max="5638" width="8.5703125" style="118" customWidth="1"/>
    <col min="5639" max="5639" width="6.28515625" style="118" customWidth="1"/>
    <col min="5640" max="5640" width="47.28515625" style="118" customWidth="1"/>
    <col min="5641" max="5641" width="9.28515625" style="118" customWidth="1"/>
    <col min="5642" max="5642" width="11.28515625" style="118" customWidth="1"/>
    <col min="5643" max="5643" width="9.140625" style="118" customWidth="1"/>
    <col min="5644" max="5644" width="51.5703125" style="118" customWidth="1"/>
    <col min="5645" max="5888" width="9.140625" style="118"/>
    <col min="5889" max="5889" width="6.28515625" style="118" customWidth="1"/>
    <col min="5890" max="5891" width="45.42578125" style="118" customWidth="1"/>
    <col min="5892" max="5892" width="8.5703125" style="118" customWidth="1"/>
    <col min="5893" max="5893" width="8.28515625" style="118" customWidth="1"/>
    <col min="5894" max="5894" width="8.5703125" style="118" customWidth="1"/>
    <col min="5895" max="5895" width="6.28515625" style="118" customWidth="1"/>
    <col min="5896" max="5896" width="47.28515625" style="118" customWidth="1"/>
    <col min="5897" max="5897" width="9.28515625" style="118" customWidth="1"/>
    <col min="5898" max="5898" width="11.28515625" style="118" customWidth="1"/>
    <col min="5899" max="5899" width="9.140625" style="118" customWidth="1"/>
    <col min="5900" max="5900" width="51.5703125" style="118" customWidth="1"/>
    <col min="5901" max="6144" width="9.140625" style="118"/>
    <col min="6145" max="6145" width="6.28515625" style="118" customWidth="1"/>
    <col min="6146" max="6147" width="45.42578125" style="118" customWidth="1"/>
    <col min="6148" max="6148" width="8.5703125" style="118" customWidth="1"/>
    <col min="6149" max="6149" width="8.28515625" style="118" customWidth="1"/>
    <col min="6150" max="6150" width="8.5703125" style="118" customWidth="1"/>
    <col min="6151" max="6151" width="6.28515625" style="118" customWidth="1"/>
    <col min="6152" max="6152" width="47.28515625" style="118" customWidth="1"/>
    <col min="6153" max="6153" width="9.28515625" style="118" customWidth="1"/>
    <col min="6154" max="6154" width="11.28515625" style="118" customWidth="1"/>
    <col min="6155" max="6155" width="9.140625" style="118" customWidth="1"/>
    <col min="6156" max="6156" width="51.5703125" style="118" customWidth="1"/>
    <col min="6157" max="6400" width="9.140625" style="118"/>
    <col min="6401" max="6401" width="6.28515625" style="118" customWidth="1"/>
    <col min="6402" max="6403" width="45.42578125" style="118" customWidth="1"/>
    <col min="6404" max="6404" width="8.5703125" style="118" customWidth="1"/>
    <col min="6405" max="6405" width="8.28515625" style="118" customWidth="1"/>
    <col min="6406" max="6406" width="8.5703125" style="118" customWidth="1"/>
    <col min="6407" max="6407" width="6.28515625" style="118" customWidth="1"/>
    <col min="6408" max="6408" width="47.28515625" style="118" customWidth="1"/>
    <col min="6409" max="6409" width="9.28515625" style="118" customWidth="1"/>
    <col min="6410" max="6410" width="11.28515625" style="118" customWidth="1"/>
    <col min="6411" max="6411" width="9.140625" style="118" customWidth="1"/>
    <col min="6412" max="6412" width="51.5703125" style="118" customWidth="1"/>
    <col min="6413" max="6656" width="9.140625" style="118"/>
    <col min="6657" max="6657" width="6.28515625" style="118" customWidth="1"/>
    <col min="6658" max="6659" width="45.42578125" style="118" customWidth="1"/>
    <col min="6660" max="6660" width="8.5703125" style="118" customWidth="1"/>
    <col min="6661" max="6661" width="8.28515625" style="118" customWidth="1"/>
    <col min="6662" max="6662" width="8.5703125" style="118" customWidth="1"/>
    <col min="6663" max="6663" width="6.28515625" style="118" customWidth="1"/>
    <col min="6664" max="6664" width="47.28515625" style="118" customWidth="1"/>
    <col min="6665" max="6665" width="9.28515625" style="118" customWidth="1"/>
    <col min="6666" max="6666" width="11.28515625" style="118" customWidth="1"/>
    <col min="6667" max="6667" width="9.140625" style="118" customWidth="1"/>
    <col min="6668" max="6668" width="51.5703125" style="118" customWidth="1"/>
    <col min="6669" max="6912" width="9.140625" style="118"/>
    <col min="6913" max="6913" width="6.28515625" style="118" customWidth="1"/>
    <col min="6914" max="6915" width="45.42578125" style="118" customWidth="1"/>
    <col min="6916" max="6916" width="8.5703125" style="118" customWidth="1"/>
    <col min="6917" max="6917" width="8.28515625" style="118" customWidth="1"/>
    <col min="6918" max="6918" width="8.5703125" style="118" customWidth="1"/>
    <col min="6919" max="6919" width="6.28515625" style="118" customWidth="1"/>
    <col min="6920" max="6920" width="47.28515625" style="118" customWidth="1"/>
    <col min="6921" max="6921" width="9.28515625" style="118" customWidth="1"/>
    <col min="6922" max="6922" width="11.28515625" style="118" customWidth="1"/>
    <col min="6923" max="6923" width="9.140625" style="118" customWidth="1"/>
    <col min="6924" max="6924" width="51.5703125" style="118" customWidth="1"/>
    <col min="6925" max="7168" width="9.140625" style="118"/>
    <col min="7169" max="7169" width="6.28515625" style="118" customWidth="1"/>
    <col min="7170" max="7171" width="45.42578125" style="118" customWidth="1"/>
    <col min="7172" max="7172" width="8.5703125" style="118" customWidth="1"/>
    <col min="7173" max="7173" width="8.28515625" style="118" customWidth="1"/>
    <col min="7174" max="7174" width="8.5703125" style="118" customWidth="1"/>
    <col min="7175" max="7175" width="6.28515625" style="118" customWidth="1"/>
    <col min="7176" max="7176" width="47.28515625" style="118" customWidth="1"/>
    <col min="7177" max="7177" width="9.28515625" style="118" customWidth="1"/>
    <col min="7178" max="7178" width="11.28515625" style="118" customWidth="1"/>
    <col min="7179" max="7179" width="9.140625" style="118" customWidth="1"/>
    <col min="7180" max="7180" width="51.5703125" style="118" customWidth="1"/>
    <col min="7181" max="7424" width="9.140625" style="118"/>
    <col min="7425" max="7425" width="6.28515625" style="118" customWidth="1"/>
    <col min="7426" max="7427" width="45.42578125" style="118" customWidth="1"/>
    <col min="7428" max="7428" width="8.5703125" style="118" customWidth="1"/>
    <col min="7429" max="7429" width="8.28515625" style="118" customWidth="1"/>
    <col min="7430" max="7430" width="8.5703125" style="118" customWidth="1"/>
    <col min="7431" max="7431" width="6.28515625" style="118" customWidth="1"/>
    <col min="7432" max="7432" width="47.28515625" style="118" customWidth="1"/>
    <col min="7433" max="7433" width="9.28515625" style="118" customWidth="1"/>
    <col min="7434" max="7434" width="11.28515625" style="118" customWidth="1"/>
    <col min="7435" max="7435" width="9.140625" style="118" customWidth="1"/>
    <col min="7436" max="7436" width="51.5703125" style="118" customWidth="1"/>
    <col min="7437" max="7680" width="9.140625" style="118"/>
    <col min="7681" max="7681" width="6.28515625" style="118" customWidth="1"/>
    <col min="7682" max="7683" width="45.42578125" style="118" customWidth="1"/>
    <col min="7684" max="7684" width="8.5703125" style="118" customWidth="1"/>
    <col min="7685" max="7685" width="8.28515625" style="118" customWidth="1"/>
    <col min="7686" max="7686" width="8.5703125" style="118" customWidth="1"/>
    <col min="7687" max="7687" width="6.28515625" style="118" customWidth="1"/>
    <col min="7688" max="7688" width="47.28515625" style="118" customWidth="1"/>
    <col min="7689" max="7689" width="9.28515625" style="118" customWidth="1"/>
    <col min="7690" max="7690" width="11.28515625" style="118" customWidth="1"/>
    <col min="7691" max="7691" width="9.140625" style="118" customWidth="1"/>
    <col min="7692" max="7692" width="51.5703125" style="118" customWidth="1"/>
    <col min="7693" max="7936" width="9.140625" style="118"/>
    <col min="7937" max="7937" width="6.28515625" style="118" customWidth="1"/>
    <col min="7938" max="7939" width="45.42578125" style="118" customWidth="1"/>
    <col min="7940" max="7940" width="8.5703125" style="118" customWidth="1"/>
    <col min="7941" max="7941" width="8.28515625" style="118" customWidth="1"/>
    <col min="7942" max="7942" width="8.5703125" style="118" customWidth="1"/>
    <col min="7943" max="7943" width="6.28515625" style="118" customWidth="1"/>
    <col min="7944" max="7944" width="47.28515625" style="118" customWidth="1"/>
    <col min="7945" max="7945" width="9.28515625" style="118" customWidth="1"/>
    <col min="7946" max="7946" width="11.28515625" style="118" customWidth="1"/>
    <col min="7947" max="7947" width="9.140625" style="118" customWidth="1"/>
    <col min="7948" max="7948" width="51.5703125" style="118" customWidth="1"/>
    <col min="7949" max="8192" width="9.140625" style="118"/>
    <col min="8193" max="8193" width="6.28515625" style="118" customWidth="1"/>
    <col min="8194" max="8195" width="45.42578125" style="118" customWidth="1"/>
    <col min="8196" max="8196" width="8.5703125" style="118" customWidth="1"/>
    <col min="8197" max="8197" width="8.28515625" style="118" customWidth="1"/>
    <col min="8198" max="8198" width="8.5703125" style="118" customWidth="1"/>
    <col min="8199" max="8199" width="6.28515625" style="118" customWidth="1"/>
    <col min="8200" max="8200" width="47.28515625" style="118" customWidth="1"/>
    <col min="8201" max="8201" width="9.28515625" style="118" customWidth="1"/>
    <col min="8202" max="8202" width="11.28515625" style="118" customWidth="1"/>
    <col min="8203" max="8203" width="9.140625" style="118" customWidth="1"/>
    <col min="8204" max="8204" width="51.5703125" style="118" customWidth="1"/>
    <col min="8205" max="8448" width="9.140625" style="118"/>
    <col min="8449" max="8449" width="6.28515625" style="118" customWidth="1"/>
    <col min="8450" max="8451" width="45.42578125" style="118" customWidth="1"/>
    <col min="8452" max="8452" width="8.5703125" style="118" customWidth="1"/>
    <col min="8453" max="8453" width="8.28515625" style="118" customWidth="1"/>
    <col min="8454" max="8454" width="8.5703125" style="118" customWidth="1"/>
    <col min="8455" max="8455" width="6.28515625" style="118" customWidth="1"/>
    <col min="8456" max="8456" width="47.28515625" style="118" customWidth="1"/>
    <col min="8457" max="8457" width="9.28515625" style="118" customWidth="1"/>
    <col min="8458" max="8458" width="11.28515625" style="118" customWidth="1"/>
    <col min="8459" max="8459" width="9.140625" style="118" customWidth="1"/>
    <col min="8460" max="8460" width="51.5703125" style="118" customWidth="1"/>
    <col min="8461" max="8704" width="9.140625" style="118"/>
    <col min="8705" max="8705" width="6.28515625" style="118" customWidth="1"/>
    <col min="8706" max="8707" width="45.42578125" style="118" customWidth="1"/>
    <col min="8708" max="8708" width="8.5703125" style="118" customWidth="1"/>
    <col min="8709" max="8709" width="8.28515625" style="118" customWidth="1"/>
    <col min="8710" max="8710" width="8.5703125" style="118" customWidth="1"/>
    <col min="8711" max="8711" width="6.28515625" style="118" customWidth="1"/>
    <col min="8712" max="8712" width="47.28515625" style="118" customWidth="1"/>
    <col min="8713" max="8713" width="9.28515625" style="118" customWidth="1"/>
    <col min="8714" max="8714" width="11.28515625" style="118" customWidth="1"/>
    <col min="8715" max="8715" width="9.140625" style="118" customWidth="1"/>
    <col min="8716" max="8716" width="51.5703125" style="118" customWidth="1"/>
    <col min="8717" max="8960" width="9.140625" style="118"/>
    <col min="8961" max="8961" width="6.28515625" style="118" customWidth="1"/>
    <col min="8962" max="8963" width="45.42578125" style="118" customWidth="1"/>
    <col min="8964" max="8964" width="8.5703125" style="118" customWidth="1"/>
    <col min="8965" max="8965" width="8.28515625" style="118" customWidth="1"/>
    <col min="8966" max="8966" width="8.5703125" style="118" customWidth="1"/>
    <col min="8967" max="8967" width="6.28515625" style="118" customWidth="1"/>
    <col min="8968" max="8968" width="47.28515625" style="118" customWidth="1"/>
    <col min="8969" max="8969" width="9.28515625" style="118" customWidth="1"/>
    <col min="8970" max="8970" width="11.28515625" style="118" customWidth="1"/>
    <col min="8971" max="8971" width="9.140625" style="118" customWidth="1"/>
    <col min="8972" max="8972" width="51.5703125" style="118" customWidth="1"/>
    <col min="8973" max="9216" width="9.140625" style="118"/>
    <col min="9217" max="9217" width="6.28515625" style="118" customWidth="1"/>
    <col min="9218" max="9219" width="45.42578125" style="118" customWidth="1"/>
    <col min="9220" max="9220" width="8.5703125" style="118" customWidth="1"/>
    <col min="9221" max="9221" width="8.28515625" style="118" customWidth="1"/>
    <col min="9222" max="9222" width="8.5703125" style="118" customWidth="1"/>
    <col min="9223" max="9223" width="6.28515625" style="118" customWidth="1"/>
    <col min="9224" max="9224" width="47.28515625" style="118" customWidth="1"/>
    <col min="9225" max="9225" width="9.28515625" style="118" customWidth="1"/>
    <col min="9226" max="9226" width="11.28515625" style="118" customWidth="1"/>
    <col min="9227" max="9227" width="9.140625" style="118" customWidth="1"/>
    <col min="9228" max="9228" width="51.5703125" style="118" customWidth="1"/>
    <col min="9229" max="9472" width="9.140625" style="118"/>
    <col min="9473" max="9473" width="6.28515625" style="118" customWidth="1"/>
    <col min="9474" max="9475" width="45.42578125" style="118" customWidth="1"/>
    <col min="9476" max="9476" width="8.5703125" style="118" customWidth="1"/>
    <col min="9477" max="9477" width="8.28515625" style="118" customWidth="1"/>
    <col min="9478" max="9478" width="8.5703125" style="118" customWidth="1"/>
    <col min="9479" max="9479" width="6.28515625" style="118" customWidth="1"/>
    <col min="9480" max="9480" width="47.28515625" style="118" customWidth="1"/>
    <col min="9481" max="9481" width="9.28515625" style="118" customWidth="1"/>
    <col min="9482" max="9482" width="11.28515625" style="118" customWidth="1"/>
    <col min="9483" max="9483" width="9.140625" style="118" customWidth="1"/>
    <col min="9484" max="9484" width="51.5703125" style="118" customWidth="1"/>
    <col min="9485" max="9728" width="9.140625" style="118"/>
    <col min="9729" max="9729" width="6.28515625" style="118" customWidth="1"/>
    <col min="9730" max="9731" width="45.42578125" style="118" customWidth="1"/>
    <col min="9732" max="9732" width="8.5703125" style="118" customWidth="1"/>
    <col min="9733" max="9733" width="8.28515625" style="118" customWidth="1"/>
    <col min="9734" max="9734" width="8.5703125" style="118" customWidth="1"/>
    <col min="9735" max="9735" width="6.28515625" style="118" customWidth="1"/>
    <col min="9736" max="9736" width="47.28515625" style="118" customWidth="1"/>
    <col min="9737" max="9737" width="9.28515625" style="118" customWidth="1"/>
    <col min="9738" max="9738" width="11.28515625" style="118" customWidth="1"/>
    <col min="9739" max="9739" width="9.140625" style="118" customWidth="1"/>
    <col min="9740" max="9740" width="51.5703125" style="118" customWidth="1"/>
    <col min="9741" max="9984" width="9.140625" style="118"/>
    <col min="9985" max="9985" width="6.28515625" style="118" customWidth="1"/>
    <col min="9986" max="9987" width="45.42578125" style="118" customWidth="1"/>
    <col min="9988" max="9988" width="8.5703125" style="118" customWidth="1"/>
    <col min="9989" max="9989" width="8.28515625" style="118" customWidth="1"/>
    <col min="9990" max="9990" width="8.5703125" style="118" customWidth="1"/>
    <col min="9991" max="9991" width="6.28515625" style="118" customWidth="1"/>
    <col min="9992" max="9992" width="47.28515625" style="118" customWidth="1"/>
    <col min="9993" max="9993" width="9.28515625" style="118" customWidth="1"/>
    <col min="9994" max="9994" width="11.28515625" style="118" customWidth="1"/>
    <col min="9995" max="9995" width="9.140625" style="118" customWidth="1"/>
    <col min="9996" max="9996" width="51.5703125" style="118" customWidth="1"/>
    <col min="9997" max="10240" width="9.140625" style="118"/>
    <col min="10241" max="10241" width="6.28515625" style="118" customWidth="1"/>
    <col min="10242" max="10243" width="45.42578125" style="118" customWidth="1"/>
    <col min="10244" max="10244" width="8.5703125" style="118" customWidth="1"/>
    <col min="10245" max="10245" width="8.28515625" style="118" customWidth="1"/>
    <col min="10246" max="10246" width="8.5703125" style="118" customWidth="1"/>
    <col min="10247" max="10247" width="6.28515625" style="118" customWidth="1"/>
    <col min="10248" max="10248" width="47.28515625" style="118" customWidth="1"/>
    <col min="10249" max="10249" width="9.28515625" style="118" customWidth="1"/>
    <col min="10250" max="10250" width="11.28515625" style="118" customWidth="1"/>
    <col min="10251" max="10251" width="9.140625" style="118" customWidth="1"/>
    <col min="10252" max="10252" width="51.5703125" style="118" customWidth="1"/>
    <col min="10253" max="10496" width="9.140625" style="118"/>
    <col min="10497" max="10497" width="6.28515625" style="118" customWidth="1"/>
    <col min="10498" max="10499" width="45.42578125" style="118" customWidth="1"/>
    <col min="10500" max="10500" width="8.5703125" style="118" customWidth="1"/>
    <col min="10501" max="10501" width="8.28515625" style="118" customWidth="1"/>
    <col min="10502" max="10502" width="8.5703125" style="118" customWidth="1"/>
    <col min="10503" max="10503" width="6.28515625" style="118" customWidth="1"/>
    <col min="10504" max="10504" width="47.28515625" style="118" customWidth="1"/>
    <col min="10505" max="10505" width="9.28515625" style="118" customWidth="1"/>
    <col min="10506" max="10506" width="11.28515625" style="118" customWidth="1"/>
    <col min="10507" max="10507" width="9.140625" style="118" customWidth="1"/>
    <col min="10508" max="10508" width="51.5703125" style="118" customWidth="1"/>
    <col min="10509" max="10752" width="9.140625" style="118"/>
    <col min="10753" max="10753" width="6.28515625" style="118" customWidth="1"/>
    <col min="10754" max="10755" width="45.42578125" style="118" customWidth="1"/>
    <col min="10756" max="10756" width="8.5703125" style="118" customWidth="1"/>
    <col min="10757" max="10757" width="8.28515625" style="118" customWidth="1"/>
    <col min="10758" max="10758" width="8.5703125" style="118" customWidth="1"/>
    <col min="10759" max="10759" width="6.28515625" style="118" customWidth="1"/>
    <col min="10760" max="10760" width="47.28515625" style="118" customWidth="1"/>
    <col min="10761" max="10761" width="9.28515625" style="118" customWidth="1"/>
    <col min="10762" max="10762" width="11.28515625" style="118" customWidth="1"/>
    <col min="10763" max="10763" width="9.140625" style="118" customWidth="1"/>
    <col min="10764" max="10764" width="51.5703125" style="118" customWidth="1"/>
    <col min="10765" max="11008" width="9.140625" style="118"/>
    <col min="11009" max="11009" width="6.28515625" style="118" customWidth="1"/>
    <col min="11010" max="11011" width="45.42578125" style="118" customWidth="1"/>
    <col min="11012" max="11012" width="8.5703125" style="118" customWidth="1"/>
    <col min="11013" max="11013" width="8.28515625" style="118" customWidth="1"/>
    <col min="11014" max="11014" width="8.5703125" style="118" customWidth="1"/>
    <col min="11015" max="11015" width="6.28515625" style="118" customWidth="1"/>
    <col min="11016" max="11016" width="47.28515625" style="118" customWidth="1"/>
    <col min="11017" max="11017" width="9.28515625" style="118" customWidth="1"/>
    <col min="11018" max="11018" width="11.28515625" style="118" customWidth="1"/>
    <col min="11019" max="11019" width="9.140625" style="118" customWidth="1"/>
    <col min="11020" max="11020" width="51.5703125" style="118" customWidth="1"/>
    <col min="11021" max="11264" width="9.140625" style="118"/>
    <col min="11265" max="11265" width="6.28515625" style="118" customWidth="1"/>
    <col min="11266" max="11267" width="45.42578125" style="118" customWidth="1"/>
    <col min="11268" max="11268" width="8.5703125" style="118" customWidth="1"/>
    <col min="11269" max="11269" width="8.28515625" style="118" customWidth="1"/>
    <col min="11270" max="11270" width="8.5703125" style="118" customWidth="1"/>
    <col min="11271" max="11271" width="6.28515625" style="118" customWidth="1"/>
    <col min="11272" max="11272" width="47.28515625" style="118" customWidth="1"/>
    <col min="11273" max="11273" width="9.28515625" style="118" customWidth="1"/>
    <col min="11274" max="11274" width="11.28515625" style="118" customWidth="1"/>
    <col min="11275" max="11275" width="9.140625" style="118" customWidth="1"/>
    <col min="11276" max="11276" width="51.5703125" style="118" customWidth="1"/>
    <col min="11277" max="11520" width="9.140625" style="118"/>
    <col min="11521" max="11521" width="6.28515625" style="118" customWidth="1"/>
    <col min="11522" max="11523" width="45.42578125" style="118" customWidth="1"/>
    <col min="11524" max="11524" width="8.5703125" style="118" customWidth="1"/>
    <col min="11525" max="11525" width="8.28515625" style="118" customWidth="1"/>
    <col min="11526" max="11526" width="8.5703125" style="118" customWidth="1"/>
    <col min="11527" max="11527" width="6.28515625" style="118" customWidth="1"/>
    <col min="11528" max="11528" width="47.28515625" style="118" customWidth="1"/>
    <col min="11529" max="11529" width="9.28515625" style="118" customWidth="1"/>
    <col min="11530" max="11530" width="11.28515625" style="118" customWidth="1"/>
    <col min="11531" max="11531" width="9.140625" style="118" customWidth="1"/>
    <col min="11532" max="11532" width="51.5703125" style="118" customWidth="1"/>
    <col min="11533" max="11776" width="9.140625" style="118"/>
    <col min="11777" max="11777" width="6.28515625" style="118" customWidth="1"/>
    <col min="11778" max="11779" width="45.42578125" style="118" customWidth="1"/>
    <col min="11780" max="11780" width="8.5703125" style="118" customWidth="1"/>
    <col min="11781" max="11781" width="8.28515625" style="118" customWidth="1"/>
    <col min="11782" max="11782" width="8.5703125" style="118" customWidth="1"/>
    <col min="11783" max="11783" width="6.28515625" style="118" customWidth="1"/>
    <col min="11784" max="11784" width="47.28515625" style="118" customWidth="1"/>
    <col min="11785" max="11785" width="9.28515625" style="118" customWidth="1"/>
    <col min="11786" max="11786" width="11.28515625" style="118" customWidth="1"/>
    <col min="11787" max="11787" width="9.140625" style="118" customWidth="1"/>
    <col min="11788" max="11788" width="51.5703125" style="118" customWidth="1"/>
    <col min="11789" max="12032" width="9.140625" style="118"/>
    <col min="12033" max="12033" width="6.28515625" style="118" customWidth="1"/>
    <col min="12034" max="12035" width="45.42578125" style="118" customWidth="1"/>
    <col min="12036" max="12036" width="8.5703125" style="118" customWidth="1"/>
    <col min="12037" max="12037" width="8.28515625" style="118" customWidth="1"/>
    <col min="12038" max="12038" width="8.5703125" style="118" customWidth="1"/>
    <col min="12039" max="12039" width="6.28515625" style="118" customWidth="1"/>
    <col min="12040" max="12040" width="47.28515625" style="118" customWidth="1"/>
    <col min="12041" max="12041" width="9.28515625" style="118" customWidth="1"/>
    <col min="12042" max="12042" width="11.28515625" style="118" customWidth="1"/>
    <col min="12043" max="12043" width="9.140625" style="118" customWidth="1"/>
    <col min="12044" max="12044" width="51.5703125" style="118" customWidth="1"/>
    <col min="12045" max="12288" width="9.140625" style="118"/>
    <col min="12289" max="12289" width="6.28515625" style="118" customWidth="1"/>
    <col min="12290" max="12291" width="45.42578125" style="118" customWidth="1"/>
    <col min="12292" max="12292" width="8.5703125" style="118" customWidth="1"/>
    <col min="12293" max="12293" width="8.28515625" style="118" customWidth="1"/>
    <col min="12294" max="12294" width="8.5703125" style="118" customWidth="1"/>
    <col min="12295" max="12295" width="6.28515625" style="118" customWidth="1"/>
    <col min="12296" max="12296" width="47.28515625" style="118" customWidth="1"/>
    <col min="12297" max="12297" width="9.28515625" style="118" customWidth="1"/>
    <col min="12298" max="12298" width="11.28515625" style="118" customWidth="1"/>
    <col min="12299" max="12299" width="9.140625" style="118" customWidth="1"/>
    <col min="12300" max="12300" width="51.5703125" style="118" customWidth="1"/>
    <col min="12301" max="12544" width="9.140625" style="118"/>
    <col min="12545" max="12545" width="6.28515625" style="118" customWidth="1"/>
    <col min="12546" max="12547" width="45.42578125" style="118" customWidth="1"/>
    <col min="12548" max="12548" width="8.5703125" style="118" customWidth="1"/>
    <col min="12549" max="12549" width="8.28515625" style="118" customWidth="1"/>
    <col min="12550" max="12550" width="8.5703125" style="118" customWidth="1"/>
    <col min="12551" max="12551" width="6.28515625" style="118" customWidth="1"/>
    <col min="12552" max="12552" width="47.28515625" style="118" customWidth="1"/>
    <col min="12553" max="12553" width="9.28515625" style="118" customWidth="1"/>
    <col min="12554" max="12554" width="11.28515625" style="118" customWidth="1"/>
    <col min="12555" max="12555" width="9.140625" style="118" customWidth="1"/>
    <col min="12556" max="12556" width="51.5703125" style="118" customWidth="1"/>
    <col min="12557" max="12800" width="9.140625" style="118"/>
    <col min="12801" max="12801" width="6.28515625" style="118" customWidth="1"/>
    <col min="12802" max="12803" width="45.42578125" style="118" customWidth="1"/>
    <col min="12804" max="12804" width="8.5703125" style="118" customWidth="1"/>
    <col min="12805" max="12805" width="8.28515625" style="118" customWidth="1"/>
    <col min="12806" max="12806" width="8.5703125" style="118" customWidth="1"/>
    <col min="12807" max="12807" width="6.28515625" style="118" customWidth="1"/>
    <col min="12808" max="12808" width="47.28515625" style="118" customWidth="1"/>
    <col min="12809" max="12809" width="9.28515625" style="118" customWidth="1"/>
    <col min="12810" max="12810" width="11.28515625" style="118" customWidth="1"/>
    <col min="12811" max="12811" width="9.140625" style="118" customWidth="1"/>
    <col min="12812" max="12812" width="51.5703125" style="118" customWidth="1"/>
    <col min="12813" max="13056" width="9.140625" style="118"/>
    <col min="13057" max="13057" width="6.28515625" style="118" customWidth="1"/>
    <col min="13058" max="13059" width="45.42578125" style="118" customWidth="1"/>
    <col min="13060" max="13060" width="8.5703125" style="118" customWidth="1"/>
    <col min="13061" max="13061" width="8.28515625" style="118" customWidth="1"/>
    <col min="13062" max="13062" width="8.5703125" style="118" customWidth="1"/>
    <col min="13063" max="13063" width="6.28515625" style="118" customWidth="1"/>
    <col min="13064" max="13064" width="47.28515625" style="118" customWidth="1"/>
    <col min="13065" max="13065" width="9.28515625" style="118" customWidth="1"/>
    <col min="13066" max="13066" width="11.28515625" style="118" customWidth="1"/>
    <col min="13067" max="13067" width="9.140625" style="118" customWidth="1"/>
    <col min="13068" max="13068" width="51.5703125" style="118" customWidth="1"/>
    <col min="13069" max="13312" width="9.140625" style="118"/>
    <col min="13313" max="13313" width="6.28515625" style="118" customWidth="1"/>
    <col min="13314" max="13315" width="45.42578125" style="118" customWidth="1"/>
    <col min="13316" max="13316" width="8.5703125" style="118" customWidth="1"/>
    <col min="13317" max="13317" width="8.28515625" style="118" customWidth="1"/>
    <col min="13318" max="13318" width="8.5703125" style="118" customWidth="1"/>
    <col min="13319" max="13319" width="6.28515625" style="118" customWidth="1"/>
    <col min="13320" max="13320" width="47.28515625" style="118" customWidth="1"/>
    <col min="13321" max="13321" width="9.28515625" style="118" customWidth="1"/>
    <col min="13322" max="13322" width="11.28515625" style="118" customWidth="1"/>
    <col min="13323" max="13323" width="9.140625" style="118" customWidth="1"/>
    <col min="13324" max="13324" width="51.5703125" style="118" customWidth="1"/>
    <col min="13325" max="13568" width="9.140625" style="118"/>
    <col min="13569" max="13569" width="6.28515625" style="118" customWidth="1"/>
    <col min="13570" max="13571" width="45.42578125" style="118" customWidth="1"/>
    <col min="13572" max="13572" width="8.5703125" style="118" customWidth="1"/>
    <col min="13573" max="13573" width="8.28515625" style="118" customWidth="1"/>
    <col min="13574" max="13574" width="8.5703125" style="118" customWidth="1"/>
    <col min="13575" max="13575" width="6.28515625" style="118" customWidth="1"/>
    <col min="13576" max="13576" width="47.28515625" style="118" customWidth="1"/>
    <col min="13577" max="13577" width="9.28515625" style="118" customWidth="1"/>
    <col min="13578" max="13578" width="11.28515625" style="118" customWidth="1"/>
    <col min="13579" max="13579" width="9.140625" style="118" customWidth="1"/>
    <col min="13580" max="13580" width="51.5703125" style="118" customWidth="1"/>
    <col min="13581" max="13824" width="9.140625" style="118"/>
    <col min="13825" max="13825" width="6.28515625" style="118" customWidth="1"/>
    <col min="13826" max="13827" width="45.42578125" style="118" customWidth="1"/>
    <col min="13828" max="13828" width="8.5703125" style="118" customWidth="1"/>
    <col min="13829" max="13829" width="8.28515625" style="118" customWidth="1"/>
    <col min="13830" max="13830" width="8.5703125" style="118" customWidth="1"/>
    <col min="13831" max="13831" width="6.28515625" style="118" customWidth="1"/>
    <col min="13832" max="13832" width="47.28515625" style="118" customWidth="1"/>
    <col min="13833" max="13833" width="9.28515625" style="118" customWidth="1"/>
    <col min="13834" max="13834" width="11.28515625" style="118" customWidth="1"/>
    <col min="13835" max="13835" width="9.140625" style="118" customWidth="1"/>
    <col min="13836" max="13836" width="51.5703125" style="118" customWidth="1"/>
    <col min="13837" max="14080" width="9.140625" style="118"/>
    <col min="14081" max="14081" width="6.28515625" style="118" customWidth="1"/>
    <col min="14082" max="14083" width="45.42578125" style="118" customWidth="1"/>
    <col min="14084" max="14084" width="8.5703125" style="118" customWidth="1"/>
    <col min="14085" max="14085" width="8.28515625" style="118" customWidth="1"/>
    <col min="14086" max="14086" width="8.5703125" style="118" customWidth="1"/>
    <col min="14087" max="14087" width="6.28515625" style="118" customWidth="1"/>
    <col min="14088" max="14088" width="47.28515625" style="118" customWidth="1"/>
    <col min="14089" max="14089" width="9.28515625" style="118" customWidth="1"/>
    <col min="14090" max="14090" width="11.28515625" style="118" customWidth="1"/>
    <col min="14091" max="14091" width="9.140625" style="118" customWidth="1"/>
    <col min="14092" max="14092" width="51.5703125" style="118" customWidth="1"/>
    <col min="14093" max="14336" width="9.140625" style="118"/>
    <col min="14337" max="14337" width="6.28515625" style="118" customWidth="1"/>
    <col min="14338" max="14339" width="45.42578125" style="118" customWidth="1"/>
    <col min="14340" max="14340" width="8.5703125" style="118" customWidth="1"/>
    <col min="14341" max="14341" width="8.28515625" style="118" customWidth="1"/>
    <col min="14342" max="14342" width="8.5703125" style="118" customWidth="1"/>
    <col min="14343" max="14343" width="6.28515625" style="118" customWidth="1"/>
    <col min="14344" max="14344" width="47.28515625" style="118" customWidth="1"/>
    <col min="14345" max="14345" width="9.28515625" style="118" customWidth="1"/>
    <col min="14346" max="14346" width="11.28515625" style="118" customWidth="1"/>
    <col min="14347" max="14347" width="9.140625" style="118" customWidth="1"/>
    <col min="14348" max="14348" width="51.5703125" style="118" customWidth="1"/>
    <col min="14349" max="14592" width="9.140625" style="118"/>
    <col min="14593" max="14593" width="6.28515625" style="118" customWidth="1"/>
    <col min="14594" max="14595" width="45.42578125" style="118" customWidth="1"/>
    <col min="14596" max="14596" width="8.5703125" style="118" customWidth="1"/>
    <col min="14597" max="14597" width="8.28515625" style="118" customWidth="1"/>
    <col min="14598" max="14598" width="8.5703125" style="118" customWidth="1"/>
    <col min="14599" max="14599" width="6.28515625" style="118" customWidth="1"/>
    <col min="14600" max="14600" width="47.28515625" style="118" customWidth="1"/>
    <col min="14601" max="14601" width="9.28515625" style="118" customWidth="1"/>
    <col min="14602" max="14602" width="11.28515625" style="118" customWidth="1"/>
    <col min="14603" max="14603" width="9.140625" style="118" customWidth="1"/>
    <col min="14604" max="14604" width="51.5703125" style="118" customWidth="1"/>
    <col min="14605" max="14848" width="9.140625" style="118"/>
    <col min="14849" max="14849" width="6.28515625" style="118" customWidth="1"/>
    <col min="14850" max="14851" width="45.42578125" style="118" customWidth="1"/>
    <col min="14852" max="14852" width="8.5703125" style="118" customWidth="1"/>
    <col min="14853" max="14853" width="8.28515625" style="118" customWidth="1"/>
    <col min="14854" max="14854" width="8.5703125" style="118" customWidth="1"/>
    <col min="14855" max="14855" width="6.28515625" style="118" customWidth="1"/>
    <col min="14856" max="14856" width="47.28515625" style="118" customWidth="1"/>
    <col min="14857" max="14857" width="9.28515625" style="118" customWidth="1"/>
    <col min="14858" max="14858" width="11.28515625" style="118" customWidth="1"/>
    <col min="14859" max="14859" width="9.140625" style="118" customWidth="1"/>
    <col min="14860" max="14860" width="51.5703125" style="118" customWidth="1"/>
    <col min="14861" max="15104" width="9.140625" style="118"/>
    <col min="15105" max="15105" width="6.28515625" style="118" customWidth="1"/>
    <col min="15106" max="15107" width="45.42578125" style="118" customWidth="1"/>
    <col min="15108" max="15108" width="8.5703125" style="118" customWidth="1"/>
    <col min="15109" max="15109" width="8.28515625" style="118" customWidth="1"/>
    <col min="15110" max="15110" width="8.5703125" style="118" customWidth="1"/>
    <col min="15111" max="15111" width="6.28515625" style="118" customWidth="1"/>
    <col min="15112" max="15112" width="47.28515625" style="118" customWidth="1"/>
    <col min="15113" max="15113" width="9.28515625" style="118" customWidth="1"/>
    <col min="15114" max="15114" width="11.28515625" style="118" customWidth="1"/>
    <col min="15115" max="15115" width="9.140625" style="118" customWidth="1"/>
    <col min="15116" max="15116" width="51.5703125" style="118" customWidth="1"/>
    <col min="15117" max="15360" width="9.140625" style="118"/>
    <col min="15361" max="15361" width="6.28515625" style="118" customWidth="1"/>
    <col min="15362" max="15363" width="45.42578125" style="118" customWidth="1"/>
    <col min="15364" max="15364" width="8.5703125" style="118" customWidth="1"/>
    <col min="15365" max="15365" width="8.28515625" style="118" customWidth="1"/>
    <col min="15366" max="15366" width="8.5703125" style="118" customWidth="1"/>
    <col min="15367" max="15367" width="6.28515625" style="118" customWidth="1"/>
    <col min="15368" max="15368" width="47.28515625" style="118" customWidth="1"/>
    <col min="15369" max="15369" width="9.28515625" style="118" customWidth="1"/>
    <col min="15370" max="15370" width="11.28515625" style="118" customWidth="1"/>
    <col min="15371" max="15371" width="9.140625" style="118" customWidth="1"/>
    <col min="15372" max="15372" width="51.5703125" style="118" customWidth="1"/>
    <col min="15373" max="15616" width="9.140625" style="118"/>
    <col min="15617" max="15617" width="6.28515625" style="118" customWidth="1"/>
    <col min="15618" max="15619" width="45.42578125" style="118" customWidth="1"/>
    <col min="15620" max="15620" width="8.5703125" style="118" customWidth="1"/>
    <col min="15621" max="15621" width="8.28515625" style="118" customWidth="1"/>
    <col min="15622" max="15622" width="8.5703125" style="118" customWidth="1"/>
    <col min="15623" max="15623" width="6.28515625" style="118" customWidth="1"/>
    <col min="15624" max="15624" width="47.28515625" style="118" customWidth="1"/>
    <col min="15625" max="15625" width="9.28515625" style="118" customWidth="1"/>
    <col min="15626" max="15626" width="11.28515625" style="118" customWidth="1"/>
    <col min="15627" max="15627" width="9.140625" style="118" customWidth="1"/>
    <col min="15628" max="15628" width="51.5703125" style="118" customWidth="1"/>
    <col min="15629" max="15872" width="9.140625" style="118"/>
    <col min="15873" max="15873" width="6.28515625" style="118" customWidth="1"/>
    <col min="15874" max="15875" width="45.42578125" style="118" customWidth="1"/>
    <col min="15876" max="15876" width="8.5703125" style="118" customWidth="1"/>
    <col min="15877" max="15877" width="8.28515625" style="118" customWidth="1"/>
    <col min="15878" max="15878" width="8.5703125" style="118" customWidth="1"/>
    <col min="15879" max="15879" width="6.28515625" style="118" customWidth="1"/>
    <col min="15880" max="15880" width="47.28515625" style="118" customWidth="1"/>
    <col min="15881" max="15881" width="9.28515625" style="118" customWidth="1"/>
    <col min="15882" max="15882" width="11.28515625" style="118" customWidth="1"/>
    <col min="15883" max="15883" width="9.140625" style="118" customWidth="1"/>
    <col min="15884" max="15884" width="51.5703125" style="118" customWidth="1"/>
    <col min="15885" max="16128" width="9.140625" style="118"/>
    <col min="16129" max="16129" width="6.28515625" style="118" customWidth="1"/>
    <col min="16130" max="16131" width="45.42578125" style="118" customWidth="1"/>
    <col min="16132" max="16132" width="8.5703125" style="118" customWidth="1"/>
    <col min="16133" max="16133" width="8.28515625" style="118" customWidth="1"/>
    <col min="16134" max="16134" width="8.5703125" style="118" customWidth="1"/>
    <col min="16135" max="16135" width="6.28515625" style="118" customWidth="1"/>
    <col min="16136" max="16136" width="47.28515625" style="118" customWidth="1"/>
    <col min="16137" max="16137" width="9.28515625" style="118" customWidth="1"/>
    <col min="16138" max="16138" width="11.28515625" style="118" customWidth="1"/>
    <col min="16139" max="16139" width="9.140625" style="118" customWidth="1"/>
    <col min="16140" max="16140" width="51.5703125" style="118" customWidth="1"/>
    <col min="16141" max="16384" width="9.140625" style="118"/>
  </cols>
  <sheetData>
    <row r="1" spans="1:13" ht="29.25" customHeight="1" x14ac:dyDescent="0.25">
      <c r="A1" s="306" t="s">
        <v>359</v>
      </c>
      <c r="B1" s="306"/>
      <c r="C1" s="306"/>
      <c r="D1" s="306"/>
      <c r="E1" s="306"/>
      <c r="F1" s="306"/>
      <c r="G1" s="307" t="s">
        <v>1312</v>
      </c>
      <c r="H1" s="307"/>
      <c r="I1" s="307"/>
      <c r="J1" s="307"/>
      <c r="K1" s="307"/>
    </row>
    <row r="2" spans="1:13" ht="29.25" customHeight="1" x14ac:dyDescent="0.25">
      <c r="A2" s="119"/>
      <c r="B2" s="119"/>
      <c r="C2" s="119"/>
      <c r="D2" s="308" t="s">
        <v>1296</v>
      </c>
      <c r="E2" s="308"/>
      <c r="F2" s="308"/>
      <c r="G2" s="119"/>
      <c r="H2" s="309" t="s">
        <v>962</v>
      </c>
      <c r="I2" s="309"/>
      <c r="J2" s="309"/>
      <c r="K2" s="309"/>
    </row>
    <row r="3" spans="1:13" ht="20.25" customHeight="1" x14ac:dyDescent="0.25">
      <c r="A3" s="304" t="s">
        <v>0</v>
      </c>
      <c r="B3" s="304" t="s">
        <v>1</v>
      </c>
      <c r="C3" s="304" t="s">
        <v>1</v>
      </c>
      <c r="D3" s="304" t="s">
        <v>2</v>
      </c>
      <c r="E3" s="304"/>
      <c r="F3" s="304"/>
      <c r="G3" s="304" t="s">
        <v>0</v>
      </c>
      <c r="H3" s="304" t="s">
        <v>986</v>
      </c>
      <c r="I3" s="304" t="s">
        <v>1135</v>
      </c>
      <c r="J3" s="304"/>
      <c r="K3" s="304"/>
      <c r="L3" s="121" t="s">
        <v>86</v>
      </c>
    </row>
    <row r="4" spans="1:13" ht="27.75" customHeight="1" x14ac:dyDescent="0.25">
      <c r="A4" s="304"/>
      <c r="B4" s="304"/>
      <c r="C4" s="304"/>
      <c r="D4" s="120" t="s">
        <v>6</v>
      </c>
      <c r="E4" s="120" t="s">
        <v>3</v>
      </c>
      <c r="F4" s="120" t="s">
        <v>7</v>
      </c>
      <c r="G4" s="304"/>
      <c r="H4" s="304"/>
      <c r="I4" s="120" t="s">
        <v>6</v>
      </c>
      <c r="J4" s="120" t="s">
        <v>3</v>
      </c>
      <c r="K4" s="120" t="s">
        <v>7</v>
      </c>
    </row>
    <row r="5" spans="1:13" ht="18.75" customHeight="1" x14ac:dyDescent="0.25">
      <c r="A5" s="120" t="s">
        <v>9</v>
      </c>
      <c r="B5" s="122" t="s">
        <v>360</v>
      </c>
      <c r="C5" s="122" t="s">
        <v>360</v>
      </c>
      <c r="D5" s="77"/>
      <c r="E5" s="123"/>
      <c r="F5" s="123"/>
      <c r="G5" s="120" t="s">
        <v>9</v>
      </c>
      <c r="H5" s="122" t="s">
        <v>360</v>
      </c>
      <c r="I5" s="77"/>
      <c r="J5" s="123"/>
      <c r="K5" s="123"/>
    </row>
    <row r="6" spans="1:13" ht="68.25" customHeight="1" x14ac:dyDescent="0.25">
      <c r="A6" s="123">
        <v>1</v>
      </c>
      <c r="B6" s="124" t="s">
        <v>361</v>
      </c>
      <c r="C6" s="124" t="s">
        <v>97</v>
      </c>
      <c r="D6" s="125">
        <v>380</v>
      </c>
      <c r="E6" s="126">
        <v>250</v>
      </c>
      <c r="F6" s="126">
        <v>160</v>
      </c>
      <c r="G6" s="123">
        <v>1</v>
      </c>
      <c r="H6" s="124" t="s">
        <v>361</v>
      </c>
      <c r="I6" s="264">
        <f t="shared" ref="I6:K12" si="0">D6*1.1</f>
        <v>418.00000000000006</v>
      </c>
      <c r="J6" s="264">
        <f t="shared" si="0"/>
        <v>275</v>
      </c>
      <c r="K6" s="264">
        <f t="shared" si="0"/>
        <v>176</v>
      </c>
    </row>
    <row r="7" spans="1:13" ht="50.25" customHeight="1" x14ac:dyDescent="0.25">
      <c r="A7" s="123">
        <v>2</v>
      </c>
      <c r="B7" s="124" t="s">
        <v>362</v>
      </c>
      <c r="C7" s="124" t="s">
        <v>363</v>
      </c>
      <c r="D7" s="125">
        <v>530</v>
      </c>
      <c r="E7" s="126">
        <v>300</v>
      </c>
      <c r="F7" s="126">
        <v>150</v>
      </c>
      <c r="G7" s="123">
        <v>2</v>
      </c>
      <c r="H7" s="124" t="s">
        <v>364</v>
      </c>
      <c r="I7" s="264">
        <f t="shared" si="0"/>
        <v>583</v>
      </c>
      <c r="J7" s="264">
        <f t="shared" si="0"/>
        <v>330</v>
      </c>
      <c r="K7" s="264">
        <f t="shared" si="0"/>
        <v>165</v>
      </c>
      <c r="L7" s="90"/>
    </row>
    <row r="8" spans="1:13" ht="71.25" customHeight="1" x14ac:dyDescent="0.25">
      <c r="A8" s="123">
        <v>3</v>
      </c>
      <c r="B8" s="127" t="s">
        <v>365</v>
      </c>
      <c r="C8" s="127"/>
      <c r="D8" s="125">
        <v>850</v>
      </c>
      <c r="E8" s="126">
        <v>450</v>
      </c>
      <c r="F8" s="126">
        <v>200</v>
      </c>
      <c r="G8" s="123">
        <v>3</v>
      </c>
      <c r="H8" s="127" t="s">
        <v>365</v>
      </c>
      <c r="I8" s="264">
        <f t="shared" si="0"/>
        <v>935.00000000000011</v>
      </c>
      <c r="J8" s="264">
        <f t="shared" si="0"/>
        <v>495.00000000000006</v>
      </c>
      <c r="K8" s="264">
        <f t="shared" si="0"/>
        <v>220.00000000000003</v>
      </c>
    </row>
    <row r="9" spans="1:13" ht="40.5" customHeight="1" x14ac:dyDescent="0.25">
      <c r="A9" s="128">
        <v>4</v>
      </c>
      <c r="B9" s="127" t="s">
        <v>366</v>
      </c>
      <c r="C9" s="127"/>
      <c r="D9" s="125">
        <v>220</v>
      </c>
      <c r="E9" s="126">
        <v>130</v>
      </c>
      <c r="F9" s="126">
        <v>100</v>
      </c>
      <c r="G9" s="128">
        <v>4</v>
      </c>
      <c r="H9" s="127" t="s">
        <v>366</v>
      </c>
      <c r="I9" s="264">
        <f t="shared" si="0"/>
        <v>242.00000000000003</v>
      </c>
      <c r="J9" s="264">
        <f t="shared" si="0"/>
        <v>143</v>
      </c>
      <c r="K9" s="264">
        <f t="shared" si="0"/>
        <v>110.00000000000001</v>
      </c>
    </row>
    <row r="10" spans="1:13" ht="59.25" customHeight="1" x14ac:dyDescent="0.25">
      <c r="A10" s="123">
        <v>5</v>
      </c>
      <c r="B10" s="124" t="s">
        <v>367</v>
      </c>
      <c r="C10" s="124"/>
      <c r="D10" s="125">
        <v>480</v>
      </c>
      <c r="E10" s="126">
        <v>220</v>
      </c>
      <c r="F10" s="126">
        <v>130</v>
      </c>
      <c r="G10" s="123">
        <v>5</v>
      </c>
      <c r="H10" s="124" t="s">
        <v>367</v>
      </c>
      <c r="I10" s="264">
        <f t="shared" si="0"/>
        <v>528</v>
      </c>
      <c r="J10" s="264">
        <f t="shared" si="0"/>
        <v>242.00000000000003</v>
      </c>
      <c r="K10" s="264">
        <f t="shared" si="0"/>
        <v>143</v>
      </c>
    </row>
    <row r="11" spans="1:13" ht="34.5" customHeight="1" x14ac:dyDescent="0.25">
      <c r="A11" s="128">
        <v>6</v>
      </c>
      <c r="B11" s="124" t="s">
        <v>368</v>
      </c>
      <c r="C11" s="124"/>
      <c r="D11" s="125">
        <v>290</v>
      </c>
      <c r="E11" s="126">
        <v>190</v>
      </c>
      <c r="F11" s="126">
        <v>100</v>
      </c>
      <c r="G11" s="128">
        <v>6</v>
      </c>
      <c r="H11" s="90" t="s">
        <v>987</v>
      </c>
      <c r="I11" s="264">
        <f t="shared" si="0"/>
        <v>319</v>
      </c>
      <c r="J11" s="264">
        <f t="shared" si="0"/>
        <v>209.00000000000003</v>
      </c>
      <c r="K11" s="264">
        <f t="shared" si="0"/>
        <v>110.00000000000001</v>
      </c>
      <c r="L11" s="129" t="s">
        <v>370</v>
      </c>
    </row>
    <row r="12" spans="1:13" ht="53.25" customHeight="1" x14ac:dyDescent="0.25">
      <c r="A12" s="123">
        <v>7</v>
      </c>
      <c r="B12" s="124" t="s">
        <v>371</v>
      </c>
      <c r="C12" s="124"/>
      <c r="D12" s="125">
        <v>350</v>
      </c>
      <c r="E12" s="126">
        <v>220</v>
      </c>
      <c r="F12" s="126">
        <v>110</v>
      </c>
      <c r="G12" s="123">
        <v>7</v>
      </c>
      <c r="H12" s="124" t="s">
        <v>372</v>
      </c>
      <c r="I12" s="264">
        <f t="shared" si="0"/>
        <v>385.00000000000006</v>
      </c>
      <c r="J12" s="264">
        <f t="shared" si="0"/>
        <v>242.00000000000003</v>
      </c>
      <c r="K12" s="264">
        <f t="shared" si="0"/>
        <v>121.00000000000001</v>
      </c>
      <c r="L12" s="129" t="s">
        <v>373</v>
      </c>
    </row>
    <row r="13" spans="1:13" ht="42" customHeight="1" x14ac:dyDescent="0.25">
      <c r="A13" s="128">
        <v>8</v>
      </c>
      <c r="B13" s="124" t="s">
        <v>374</v>
      </c>
      <c r="C13" s="124"/>
      <c r="D13" s="125">
        <v>75</v>
      </c>
      <c r="E13" s="126">
        <v>70</v>
      </c>
      <c r="F13" s="126">
        <v>60</v>
      </c>
      <c r="G13" s="128">
        <v>8</v>
      </c>
      <c r="H13" s="124" t="s">
        <v>375</v>
      </c>
      <c r="I13" s="264">
        <f>D13*1.1</f>
        <v>82.5</v>
      </c>
      <c r="J13" s="264">
        <f>E13*1.1</f>
        <v>77</v>
      </c>
      <c r="K13" s="264">
        <f>F13*1.1</f>
        <v>66</v>
      </c>
      <c r="L13" s="129" t="s">
        <v>376</v>
      </c>
    </row>
    <row r="14" spans="1:13" ht="24" customHeight="1" x14ac:dyDescent="0.25">
      <c r="A14" s="120" t="s">
        <v>39</v>
      </c>
      <c r="B14" s="122" t="s">
        <v>377</v>
      </c>
      <c r="C14" s="122"/>
      <c r="D14" s="125"/>
      <c r="E14" s="126"/>
      <c r="F14" s="126"/>
      <c r="G14" s="120" t="s">
        <v>39</v>
      </c>
      <c r="H14" s="122" t="s">
        <v>377</v>
      </c>
      <c r="I14" s="264"/>
      <c r="J14" s="265"/>
      <c r="K14" s="265"/>
    </row>
    <row r="15" spans="1:13" ht="56.25" customHeight="1" x14ac:dyDescent="0.25">
      <c r="A15" s="128">
        <v>1</v>
      </c>
      <c r="B15" s="124" t="s">
        <v>378</v>
      </c>
      <c r="C15" s="124"/>
      <c r="D15" s="125">
        <v>530</v>
      </c>
      <c r="E15" s="126">
        <v>350</v>
      </c>
      <c r="F15" s="126">
        <v>230</v>
      </c>
      <c r="G15" s="128">
        <v>1</v>
      </c>
      <c r="H15" s="124" t="s">
        <v>1136</v>
      </c>
      <c r="I15" s="264">
        <f t="shared" ref="I15:K22" si="1">D15*1.1</f>
        <v>583</v>
      </c>
      <c r="J15" s="264">
        <f t="shared" si="1"/>
        <v>385.00000000000006</v>
      </c>
      <c r="K15" s="264">
        <f t="shared" si="1"/>
        <v>253.00000000000003</v>
      </c>
      <c r="L15" s="297" t="s">
        <v>379</v>
      </c>
      <c r="M15" s="118" t="s">
        <v>1105</v>
      </c>
    </row>
    <row r="16" spans="1:13" ht="65.25" customHeight="1" x14ac:dyDescent="0.25">
      <c r="A16" s="128">
        <v>2</v>
      </c>
      <c r="B16" s="124" t="s">
        <v>380</v>
      </c>
      <c r="C16" s="124"/>
      <c r="D16" s="125">
        <v>650</v>
      </c>
      <c r="E16" s="126">
        <v>300</v>
      </c>
      <c r="F16" s="126">
        <v>150</v>
      </c>
      <c r="G16" s="128">
        <v>2</v>
      </c>
      <c r="H16" s="124" t="s">
        <v>1106</v>
      </c>
      <c r="I16" s="264">
        <f t="shared" si="1"/>
        <v>715.00000000000011</v>
      </c>
      <c r="J16" s="264">
        <f t="shared" si="1"/>
        <v>330</v>
      </c>
      <c r="K16" s="264">
        <f t="shared" si="1"/>
        <v>165</v>
      </c>
      <c r="L16" s="305"/>
    </row>
    <row r="17" spans="1:12" ht="65.25" customHeight="1" x14ac:dyDescent="0.25">
      <c r="A17" s="128">
        <v>3</v>
      </c>
      <c r="B17" s="124" t="s">
        <v>381</v>
      </c>
      <c r="C17" s="124" t="s">
        <v>382</v>
      </c>
      <c r="D17" s="125">
        <v>330</v>
      </c>
      <c r="E17" s="126">
        <v>220</v>
      </c>
      <c r="F17" s="126">
        <v>100</v>
      </c>
      <c r="G17" s="128">
        <v>3</v>
      </c>
      <c r="H17" s="124" t="s">
        <v>382</v>
      </c>
      <c r="I17" s="264">
        <f t="shared" si="1"/>
        <v>363.00000000000006</v>
      </c>
      <c r="J17" s="264">
        <f t="shared" si="1"/>
        <v>242.00000000000003</v>
      </c>
      <c r="K17" s="264">
        <f t="shared" si="1"/>
        <v>110.00000000000001</v>
      </c>
      <c r="L17" s="298"/>
    </row>
    <row r="18" spans="1:12" ht="53.25" customHeight="1" x14ac:dyDescent="0.25">
      <c r="A18" s="128">
        <v>4</v>
      </c>
      <c r="B18" s="124" t="s">
        <v>383</v>
      </c>
      <c r="C18" s="124" t="s">
        <v>384</v>
      </c>
      <c r="D18" s="125">
        <v>300</v>
      </c>
      <c r="E18" s="126">
        <v>200</v>
      </c>
      <c r="F18" s="126">
        <v>100</v>
      </c>
      <c r="G18" s="128">
        <v>4</v>
      </c>
      <c r="H18" s="124" t="s">
        <v>384</v>
      </c>
      <c r="I18" s="264">
        <f t="shared" si="1"/>
        <v>330</v>
      </c>
      <c r="J18" s="264">
        <f t="shared" si="1"/>
        <v>220.00000000000003</v>
      </c>
      <c r="K18" s="264">
        <f t="shared" si="1"/>
        <v>110.00000000000001</v>
      </c>
    </row>
    <row r="19" spans="1:12" ht="42" customHeight="1" x14ac:dyDescent="0.25">
      <c r="A19" s="128">
        <v>5</v>
      </c>
      <c r="B19" s="124" t="s">
        <v>385</v>
      </c>
      <c r="C19" s="124"/>
      <c r="D19" s="125">
        <v>200</v>
      </c>
      <c r="E19" s="126">
        <v>90</v>
      </c>
      <c r="F19" s="126">
        <v>70</v>
      </c>
      <c r="G19" s="128">
        <v>5</v>
      </c>
      <c r="H19" s="124" t="s">
        <v>385</v>
      </c>
      <c r="I19" s="264">
        <f t="shared" si="1"/>
        <v>220.00000000000003</v>
      </c>
      <c r="J19" s="264">
        <f t="shared" si="1"/>
        <v>99.000000000000014</v>
      </c>
      <c r="K19" s="264">
        <f t="shared" si="1"/>
        <v>77</v>
      </c>
    </row>
    <row r="20" spans="1:12" ht="35.25" customHeight="1" x14ac:dyDescent="0.25">
      <c r="A20" s="128">
        <v>6</v>
      </c>
      <c r="B20" s="124" t="s">
        <v>386</v>
      </c>
      <c r="C20" s="124"/>
      <c r="D20" s="125">
        <v>200</v>
      </c>
      <c r="E20" s="126">
        <v>90</v>
      </c>
      <c r="F20" s="126">
        <v>70</v>
      </c>
      <c r="G20" s="128">
        <v>6</v>
      </c>
      <c r="H20" s="124" t="s">
        <v>386</v>
      </c>
      <c r="I20" s="264">
        <f t="shared" si="1"/>
        <v>220.00000000000003</v>
      </c>
      <c r="J20" s="264">
        <f t="shared" si="1"/>
        <v>99.000000000000014</v>
      </c>
      <c r="K20" s="264">
        <f t="shared" si="1"/>
        <v>77</v>
      </c>
    </row>
    <row r="21" spans="1:12" ht="36" customHeight="1" x14ac:dyDescent="0.25">
      <c r="A21" s="128">
        <v>7</v>
      </c>
      <c r="B21" s="127" t="s">
        <v>387</v>
      </c>
      <c r="C21" s="127"/>
      <c r="D21" s="125">
        <v>75</v>
      </c>
      <c r="E21" s="126">
        <v>70</v>
      </c>
      <c r="F21" s="126">
        <v>60</v>
      </c>
      <c r="G21" s="128">
        <v>7</v>
      </c>
      <c r="H21" s="124" t="s">
        <v>375</v>
      </c>
      <c r="I21" s="264">
        <f t="shared" si="1"/>
        <v>82.5</v>
      </c>
      <c r="J21" s="264">
        <f t="shared" si="1"/>
        <v>77</v>
      </c>
      <c r="K21" s="264">
        <f t="shared" si="1"/>
        <v>66</v>
      </c>
    </row>
    <row r="22" spans="1:12" ht="48.75" customHeight="1" x14ac:dyDescent="0.25">
      <c r="A22" s="128">
        <v>8</v>
      </c>
      <c r="B22" s="124" t="s">
        <v>388</v>
      </c>
      <c r="C22" s="124"/>
      <c r="D22" s="125">
        <v>170</v>
      </c>
      <c r="E22" s="126">
        <v>80</v>
      </c>
      <c r="F22" s="126">
        <v>60</v>
      </c>
      <c r="G22" s="128">
        <v>8</v>
      </c>
      <c r="H22" s="124" t="s">
        <v>388</v>
      </c>
      <c r="I22" s="264">
        <f t="shared" si="1"/>
        <v>187.00000000000003</v>
      </c>
      <c r="J22" s="264">
        <f t="shared" si="1"/>
        <v>88</v>
      </c>
      <c r="K22" s="264">
        <f t="shared" si="1"/>
        <v>66</v>
      </c>
    </row>
    <row r="23" spans="1:12" ht="27" customHeight="1" x14ac:dyDescent="0.25">
      <c r="A23" s="120" t="s">
        <v>54</v>
      </c>
      <c r="B23" s="122" t="s">
        <v>389</v>
      </c>
      <c r="C23" s="122"/>
      <c r="D23" s="125"/>
      <c r="E23" s="126"/>
      <c r="F23" s="126"/>
      <c r="G23" s="120" t="s">
        <v>54</v>
      </c>
      <c r="H23" s="122" t="s">
        <v>389</v>
      </c>
      <c r="I23" s="264"/>
      <c r="J23" s="265"/>
      <c r="K23" s="265"/>
    </row>
    <row r="24" spans="1:12" ht="54.75" customHeight="1" x14ac:dyDescent="0.25">
      <c r="A24" s="128">
        <v>1</v>
      </c>
      <c r="B24" s="127" t="s">
        <v>390</v>
      </c>
      <c r="C24" s="127"/>
      <c r="D24" s="125">
        <v>500</v>
      </c>
      <c r="E24" s="126">
        <v>280</v>
      </c>
      <c r="F24" s="126">
        <v>200</v>
      </c>
      <c r="G24" s="128">
        <v>1</v>
      </c>
      <c r="H24" s="127" t="s">
        <v>390</v>
      </c>
      <c r="I24" s="264">
        <f t="shared" ref="I24:K30" si="2">D24*1.1</f>
        <v>550</v>
      </c>
      <c r="J24" s="264">
        <f t="shared" si="2"/>
        <v>308</v>
      </c>
      <c r="K24" s="264">
        <f t="shared" si="2"/>
        <v>220.00000000000003</v>
      </c>
    </row>
    <row r="25" spans="1:12" ht="70.5" customHeight="1" x14ac:dyDescent="0.25">
      <c r="A25" s="128">
        <v>2</v>
      </c>
      <c r="B25" s="127" t="s">
        <v>391</v>
      </c>
      <c r="C25" s="127" t="s">
        <v>392</v>
      </c>
      <c r="D25" s="125">
        <v>550</v>
      </c>
      <c r="E25" s="126">
        <v>380</v>
      </c>
      <c r="F25" s="126">
        <v>250</v>
      </c>
      <c r="G25" s="128">
        <v>2</v>
      </c>
      <c r="H25" s="127" t="s">
        <v>392</v>
      </c>
      <c r="I25" s="264">
        <f t="shared" si="2"/>
        <v>605</v>
      </c>
      <c r="J25" s="264">
        <f t="shared" si="2"/>
        <v>418.00000000000006</v>
      </c>
      <c r="K25" s="264">
        <f t="shared" si="2"/>
        <v>275</v>
      </c>
    </row>
    <row r="26" spans="1:12" ht="23.25" customHeight="1" x14ac:dyDescent="0.25">
      <c r="A26" s="128">
        <v>3</v>
      </c>
      <c r="B26" s="127" t="s">
        <v>393</v>
      </c>
      <c r="C26" s="127"/>
      <c r="D26" s="125">
        <v>290</v>
      </c>
      <c r="E26" s="126">
        <v>190</v>
      </c>
      <c r="F26" s="126">
        <v>100</v>
      </c>
      <c r="G26" s="128">
        <v>3</v>
      </c>
      <c r="H26" s="130" t="s">
        <v>369</v>
      </c>
      <c r="I26" s="264">
        <f t="shared" si="2"/>
        <v>319</v>
      </c>
      <c r="J26" s="264">
        <f t="shared" si="2"/>
        <v>209.00000000000003</v>
      </c>
      <c r="K26" s="264">
        <f t="shared" si="2"/>
        <v>110.00000000000001</v>
      </c>
      <c r="L26" s="130" t="s">
        <v>394</v>
      </c>
    </row>
    <row r="27" spans="1:12" ht="48.75" customHeight="1" x14ac:dyDescent="0.25">
      <c r="A27" s="128">
        <v>4</v>
      </c>
      <c r="B27" s="127" t="s">
        <v>395</v>
      </c>
      <c r="C27" s="127"/>
      <c r="D27" s="125">
        <v>320</v>
      </c>
      <c r="E27" s="126">
        <v>220</v>
      </c>
      <c r="F27" s="126">
        <v>100</v>
      </c>
      <c r="G27" s="128">
        <v>4</v>
      </c>
      <c r="H27" s="127" t="s">
        <v>395</v>
      </c>
      <c r="I27" s="264">
        <f t="shared" si="2"/>
        <v>352</v>
      </c>
      <c r="J27" s="264">
        <f t="shared" si="2"/>
        <v>242.00000000000003</v>
      </c>
      <c r="K27" s="264">
        <f t="shared" si="2"/>
        <v>110.00000000000001</v>
      </c>
    </row>
    <row r="28" spans="1:12" ht="21" customHeight="1" x14ac:dyDescent="0.25">
      <c r="A28" s="128"/>
      <c r="B28" s="127"/>
      <c r="C28" s="127"/>
      <c r="D28" s="125"/>
      <c r="E28" s="126"/>
      <c r="F28" s="126"/>
      <c r="G28" s="128">
        <v>5</v>
      </c>
      <c r="H28" s="127" t="s">
        <v>396</v>
      </c>
      <c r="I28" s="264"/>
      <c r="J28" s="264"/>
      <c r="K28" s="264"/>
    </row>
    <row r="29" spans="1:12" ht="19.5" customHeight="1" x14ac:dyDescent="0.25">
      <c r="A29" s="128"/>
      <c r="B29" s="127"/>
      <c r="C29" s="127"/>
      <c r="D29" s="125"/>
      <c r="E29" s="126"/>
      <c r="F29" s="126"/>
      <c r="G29" s="128"/>
      <c r="H29" s="127" t="s">
        <v>397</v>
      </c>
      <c r="I29" s="264">
        <v>160</v>
      </c>
      <c r="J29" s="264"/>
      <c r="K29" s="264"/>
      <c r="L29" s="129" t="s">
        <v>398</v>
      </c>
    </row>
    <row r="30" spans="1:12" ht="39" customHeight="1" x14ac:dyDescent="0.25">
      <c r="A30" s="128">
        <v>5</v>
      </c>
      <c r="B30" s="127" t="s">
        <v>399</v>
      </c>
      <c r="C30" s="127"/>
      <c r="D30" s="125">
        <v>75</v>
      </c>
      <c r="E30" s="126">
        <v>70</v>
      </c>
      <c r="F30" s="126">
        <v>60</v>
      </c>
      <c r="G30" s="128">
        <v>6</v>
      </c>
      <c r="H30" s="124" t="s">
        <v>375</v>
      </c>
      <c r="I30" s="264">
        <f t="shared" si="2"/>
        <v>82.5</v>
      </c>
      <c r="J30" s="264">
        <f t="shared" si="2"/>
        <v>77</v>
      </c>
      <c r="K30" s="264">
        <f t="shared" si="2"/>
        <v>66</v>
      </c>
    </row>
    <row r="31" spans="1:12" ht="21.75" customHeight="1" x14ac:dyDescent="0.25">
      <c r="A31" s="120" t="s">
        <v>64</v>
      </c>
      <c r="B31" s="122" t="s">
        <v>400</v>
      </c>
      <c r="C31" s="122"/>
      <c r="D31" s="125"/>
      <c r="E31" s="126"/>
      <c r="F31" s="126"/>
      <c r="G31" s="120" t="s">
        <v>64</v>
      </c>
      <c r="H31" s="122" t="s">
        <v>400</v>
      </c>
      <c r="I31" s="264"/>
      <c r="J31" s="265"/>
      <c r="K31" s="265"/>
    </row>
    <row r="32" spans="1:12" ht="66.75" customHeight="1" x14ac:dyDescent="0.25">
      <c r="A32" s="128">
        <v>1</v>
      </c>
      <c r="B32" s="127" t="s">
        <v>401</v>
      </c>
      <c r="C32" s="127"/>
      <c r="D32" s="125">
        <v>440</v>
      </c>
      <c r="E32" s="126">
        <v>230</v>
      </c>
      <c r="F32" s="126">
        <v>130</v>
      </c>
      <c r="G32" s="128">
        <v>1</v>
      </c>
      <c r="H32" s="127" t="s">
        <v>401</v>
      </c>
      <c r="I32" s="264">
        <f t="shared" ref="I32:K33" si="3">D32*1.1</f>
        <v>484.00000000000006</v>
      </c>
      <c r="J32" s="264">
        <f t="shared" si="3"/>
        <v>253.00000000000003</v>
      </c>
      <c r="K32" s="264">
        <f t="shared" si="3"/>
        <v>143</v>
      </c>
    </row>
    <row r="33" spans="1:11" ht="22.5" customHeight="1" x14ac:dyDescent="0.25">
      <c r="A33" s="128">
        <v>2</v>
      </c>
      <c r="B33" s="127" t="s">
        <v>402</v>
      </c>
      <c r="C33" s="127"/>
      <c r="D33" s="125">
        <v>250</v>
      </c>
      <c r="E33" s="126">
        <v>145</v>
      </c>
      <c r="F33" s="126">
        <v>80</v>
      </c>
      <c r="G33" s="128">
        <v>2</v>
      </c>
      <c r="H33" s="127" t="s">
        <v>402</v>
      </c>
      <c r="I33" s="264">
        <f t="shared" si="3"/>
        <v>275</v>
      </c>
      <c r="J33" s="264">
        <f t="shared" si="3"/>
        <v>159.5</v>
      </c>
      <c r="K33" s="264">
        <f t="shared" si="3"/>
        <v>88</v>
      </c>
    </row>
    <row r="34" spans="1:11" ht="22.5" customHeight="1" x14ac:dyDescent="0.25">
      <c r="A34" s="128">
        <v>3</v>
      </c>
      <c r="B34" s="127" t="s">
        <v>403</v>
      </c>
      <c r="C34" s="127"/>
      <c r="D34" s="125"/>
      <c r="E34" s="126"/>
      <c r="F34" s="126"/>
      <c r="G34" s="128">
        <v>3</v>
      </c>
      <c r="H34" s="127" t="s">
        <v>403</v>
      </c>
      <c r="I34" s="264"/>
      <c r="J34" s="265"/>
      <c r="K34" s="265"/>
    </row>
    <row r="35" spans="1:11" ht="22.5" customHeight="1" x14ac:dyDescent="0.25">
      <c r="A35" s="128"/>
      <c r="B35" s="127" t="s">
        <v>404</v>
      </c>
      <c r="C35" s="127"/>
      <c r="D35" s="125">
        <v>270</v>
      </c>
      <c r="E35" s="126"/>
      <c r="F35" s="126"/>
      <c r="G35" s="128"/>
      <c r="H35" s="127" t="s">
        <v>404</v>
      </c>
      <c r="I35" s="264">
        <f>D35*1.1</f>
        <v>297</v>
      </c>
      <c r="J35" s="264"/>
      <c r="K35" s="264"/>
    </row>
    <row r="36" spans="1:11" ht="22.5" customHeight="1" x14ac:dyDescent="0.25">
      <c r="A36" s="128"/>
      <c r="B36" s="127" t="s">
        <v>405</v>
      </c>
      <c r="C36" s="127"/>
      <c r="D36" s="125">
        <v>310</v>
      </c>
      <c r="E36" s="126"/>
      <c r="F36" s="126"/>
      <c r="G36" s="128"/>
      <c r="H36" s="127" t="s">
        <v>405</v>
      </c>
      <c r="I36" s="264">
        <f t="shared" ref="I36:K94" si="4">D36*1.1</f>
        <v>341</v>
      </c>
      <c r="J36" s="264"/>
      <c r="K36" s="264"/>
    </row>
    <row r="37" spans="1:11" ht="22.5" customHeight="1" x14ac:dyDescent="0.25">
      <c r="A37" s="128"/>
      <c r="B37" s="127" t="s">
        <v>406</v>
      </c>
      <c r="C37" s="127"/>
      <c r="D37" s="125">
        <v>240</v>
      </c>
      <c r="E37" s="126"/>
      <c r="F37" s="126"/>
      <c r="G37" s="128"/>
      <c r="H37" s="127" t="s">
        <v>406</v>
      </c>
      <c r="I37" s="264">
        <f t="shared" si="4"/>
        <v>264</v>
      </c>
      <c r="J37" s="264"/>
      <c r="K37" s="264"/>
    </row>
    <row r="38" spans="1:11" ht="22.5" customHeight="1" x14ac:dyDescent="0.25">
      <c r="A38" s="128"/>
      <c r="B38" s="127" t="s">
        <v>407</v>
      </c>
      <c r="C38" s="127"/>
      <c r="D38" s="125">
        <v>210</v>
      </c>
      <c r="E38" s="126"/>
      <c r="F38" s="126"/>
      <c r="G38" s="128"/>
      <c r="H38" s="127" t="s">
        <v>407</v>
      </c>
      <c r="I38" s="264">
        <f t="shared" si="4"/>
        <v>231.00000000000003</v>
      </c>
      <c r="J38" s="264"/>
      <c r="K38" s="264"/>
    </row>
    <row r="39" spans="1:11" ht="38.25" customHeight="1" x14ac:dyDescent="0.25">
      <c r="A39" s="128">
        <v>4</v>
      </c>
      <c r="B39" s="127" t="s">
        <v>387</v>
      </c>
      <c r="C39" s="127"/>
      <c r="D39" s="125">
        <v>75</v>
      </c>
      <c r="E39" s="126">
        <v>70</v>
      </c>
      <c r="F39" s="126">
        <v>60</v>
      </c>
      <c r="G39" s="128">
        <v>4</v>
      </c>
      <c r="H39" s="124" t="s">
        <v>375</v>
      </c>
      <c r="I39" s="264">
        <f t="shared" si="4"/>
        <v>82.5</v>
      </c>
      <c r="J39" s="264">
        <f t="shared" si="4"/>
        <v>77</v>
      </c>
      <c r="K39" s="264">
        <f t="shared" si="4"/>
        <v>66</v>
      </c>
    </row>
    <row r="40" spans="1:11" ht="43.5" customHeight="1" x14ac:dyDescent="0.25">
      <c r="A40" s="128">
        <v>5</v>
      </c>
      <c r="B40" s="127" t="s">
        <v>408</v>
      </c>
      <c r="C40" s="127"/>
      <c r="D40" s="125">
        <v>170</v>
      </c>
      <c r="E40" s="126">
        <v>90</v>
      </c>
      <c r="F40" s="125">
        <v>70</v>
      </c>
      <c r="G40" s="128">
        <v>5</v>
      </c>
      <c r="H40" s="127" t="s">
        <v>408</v>
      </c>
      <c r="I40" s="264">
        <f t="shared" si="4"/>
        <v>187.00000000000003</v>
      </c>
      <c r="J40" s="264">
        <f t="shared" si="4"/>
        <v>99.000000000000014</v>
      </c>
      <c r="K40" s="264">
        <f t="shared" si="4"/>
        <v>77</v>
      </c>
    </row>
    <row r="41" spans="1:11" ht="24" customHeight="1" x14ac:dyDescent="0.25">
      <c r="A41" s="120" t="s">
        <v>75</v>
      </c>
      <c r="B41" s="122" t="s">
        <v>409</v>
      </c>
      <c r="C41" s="122"/>
      <c r="D41" s="125"/>
      <c r="E41" s="126"/>
      <c r="F41" s="126"/>
      <c r="G41" s="120" t="s">
        <v>75</v>
      </c>
      <c r="H41" s="122" t="s">
        <v>409</v>
      </c>
      <c r="I41" s="264"/>
      <c r="J41" s="264"/>
      <c r="K41" s="264"/>
    </row>
    <row r="42" spans="1:11" ht="66.75" customHeight="1" x14ac:dyDescent="0.25">
      <c r="A42" s="128">
        <v>1</v>
      </c>
      <c r="B42" s="131" t="s">
        <v>410</v>
      </c>
      <c r="C42" s="131"/>
      <c r="D42" s="125">
        <v>300</v>
      </c>
      <c r="E42" s="126">
        <v>180</v>
      </c>
      <c r="F42" s="126">
        <v>90</v>
      </c>
      <c r="G42" s="128">
        <v>1</v>
      </c>
      <c r="H42" s="131" t="s">
        <v>410</v>
      </c>
      <c r="I42" s="264">
        <f t="shared" si="4"/>
        <v>330</v>
      </c>
      <c r="J42" s="264">
        <f t="shared" si="4"/>
        <v>198.00000000000003</v>
      </c>
      <c r="K42" s="264">
        <f t="shared" si="4"/>
        <v>99.000000000000014</v>
      </c>
    </row>
    <row r="43" spans="1:11" ht="41.25" customHeight="1" x14ac:dyDescent="0.25">
      <c r="A43" s="128">
        <v>2</v>
      </c>
      <c r="B43" s="127" t="s">
        <v>411</v>
      </c>
      <c r="C43" s="127"/>
      <c r="D43" s="125">
        <v>170</v>
      </c>
      <c r="E43" s="126">
        <v>90</v>
      </c>
      <c r="F43" s="126">
        <v>70</v>
      </c>
      <c r="G43" s="128">
        <v>2</v>
      </c>
      <c r="H43" s="127" t="s">
        <v>411</v>
      </c>
      <c r="I43" s="264">
        <f t="shared" si="4"/>
        <v>187.00000000000003</v>
      </c>
      <c r="J43" s="264">
        <f t="shared" si="4"/>
        <v>99.000000000000014</v>
      </c>
      <c r="K43" s="264">
        <f t="shared" si="4"/>
        <v>77</v>
      </c>
    </row>
    <row r="44" spans="1:11" ht="55.5" customHeight="1" x14ac:dyDescent="0.25">
      <c r="A44" s="128">
        <v>3</v>
      </c>
      <c r="B44" s="127" t="s">
        <v>412</v>
      </c>
      <c r="C44" s="127"/>
      <c r="D44" s="125">
        <v>120</v>
      </c>
      <c r="E44" s="126">
        <v>80</v>
      </c>
      <c r="F44" s="126">
        <v>70</v>
      </c>
      <c r="G44" s="128">
        <v>3</v>
      </c>
      <c r="H44" s="127" t="s">
        <v>412</v>
      </c>
      <c r="I44" s="264">
        <f t="shared" si="4"/>
        <v>132</v>
      </c>
      <c r="J44" s="264">
        <f t="shared" si="4"/>
        <v>88</v>
      </c>
      <c r="K44" s="264">
        <f t="shared" si="4"/>
        <v>77</v>
      </c>
    </row>
    <row r="45" spans="1:11" ht="36" customHeight="1" x14ac:dyDescent="0.25">
      <c r="A45" s="128">
        <v>4</v>
      </c>
      <c r="B45" s="127" t="s">
        <v>399</v>
      </c>
      <c r="C45" s="127"/>
      <c r="D45" s="125">
        <v>75</v>
      </c>
      <c r="E45" s="126">
        <v>70</v>
      </c>
      <c r="F45" s="126">
        <v>60</v>
      </c>
      <c r="G45" s="128">
        <v>4</v>
      </c>
      <c r="H45" s="124" t="s">
        <v>375</v>
      </c>
      <c r="I45" s="264">
        <f t="shared" si="4"/>
        <v>82.5</v>
      </c>
      <c r="J45" s="264">
        <f t="shared" si="4"/>
        <v>77</v>
      </c>
      <c r="K45" s="264">
        <f t="shared" si="4"/>
        <v>66</v>
      </c>
    </row>
    <row r="46" spans="1:11" ht="24" customHeight="1" x14ac:dyDescent="0.25">
      <c r="A46" s="120" t="s">
        <v>349</v>
      </c>
      <c r="B46" s="122" t="s">
        <v>413</v>
      </c>
      <c r="C46" s="122"/>
      <c r="D46" s="125"/>
      <c r="E46" s="125"/>
      <c r="F46" s="126"/>
      <c r="G46" s="120" t="s">
        <v>349</v>
      </c>
      <c r="H46" s="122" t="s">
        <v>413</v>
      </c>
      <c r="I46" s="264"/>
      <c r="J46" s="264"/>
      <c r="K46" s="264"/>
    </row>
    <row r="47" spans="1:11" ht="42.75" customHeight="1" x14ac:dyDescent="0.25">
      <c r="A47" s="128">
        <v>1</v>
      </c>
      <c r="B47" s="127" t="s">
        <v>414</v>
      </c>
      <c r="C47" s="127"/>
      <c r="D47" s="125">
        <v>280</v>
      </c>
      <c r="E47" s="126">
        <v>170</v>
      </c>
      <c r="F47" s="126">
        <v>80</v>
      </c>
      <c r="G47" s="128">
        <v>1</v>
      </c>
      <c r="H47" s="127" t="s">
        <v>414</v>
      </c>
      <c r="I47" s="264">
        <f t="shared" si="4"/>
        <v>308</v>
      </c>
      <c r="J47" s="264">
        <f t="shared" si="4"/>
        <v>187.00000000000003</v>
      </c>
      <c r="K47" s="264">
        <f t="shared" si="4"/>
        <v>88</v>
      </c>
    </row>
    <row r="48" spans="1:11" ht="44.25" customHeight="1" x14ac:dyDescent="0.25">
      <c r="A48" s="128">
        <v>2</v>
      </c>
      <c r="B48" s="127" t="s">
        <v>415</v>
      </c>
      <c r="C48" s="127"/>
      <c r="D48" s="125">
        <v>150</v>
      </c>
      <c r="E48" s="126">
        <v>90</v>
      </c>
      <c r="F48" s="126">
        <v>70</v>
      </c>
      <c r="G48" s="128">
        <v>2</v>
      </c>
      <c r="H48" s="127" t="s">
        <v>415</v>
      </c>
      <c r="I48" s="264">
        <f t="shared" si="4"/>
        <v>165</v>
      </c>
      <c r="J48" s="264">
        <f t="shared" si="4"/>
        <v>99.000000000000014</v>
      </c>
      <c r="K48" s="264">
        <f t="shared" si="4"/>
        <v>77</v>
      </c>
    </row>
    <row r="49" spans="1:12" ht="38.25" customHeight="1" x14ac:dyDescent="0.25">
      <c r="A49" s="128">
        <v>3</v>
      </c>
      <c r="B49" s="127" t="s">
        <v>374</v>
      </c>
      <c r="C49" s="127"/>
      <c r="D49" s="125">
        <v>75</v>
      </c>
      <c r="E49" s="126">
        <v>70</v>
      </c>
      <c r="F49" s="126">
        <v>60</v>
      </c>
      <c r="G49" s="128">
        <v>3</v>
      </c>
      <c r="H49" s="124" t="s">
        <v>375</v>
      </c>
      <c r="I49" s="264">
        <f t="shared" si="4"/>
        <v>82.5</v>
      </c>
      <c r="J49" s="264">
        <f t="shared" si="4"/>
        <v>77</v>
      </c>
      <c r="K49" s="264">
        <f t="shared" si="4"/>
        <v>66</v>
      </c>
    </row>
    <row r="50" spans="1:12" ht="38.25" customHeight="1" x14ac:dyDescent="0.25">
      <c r="A50" s="128">
        <v>4</v>
      </c>
      <c r="B50" s="127" t="s">
        <v>416</v>
      </c>
      <c r="C50" s="127"/>
      <c r="D50" s="125">
        <v>150</v>
      </c>
      <c r="E50" s="126">
        <v>100</v>
      </c>
      <c r="F50" s="126">
        <v>80</v>
      </c>
      <c r="G50" s="128">
        <v>4</v>
      </c>
      <c r="H50" s="127" t="s">
        <v>416</v>
      </c>
      <c r="I50" s="264">
        <f t="shared" si="4"/>
        <v>165</v>
      </c>
      <c r="J50" s="264">
        <f t="shared" si="4"/>
        <v>110.00000000000001</v>
      </c>
      <c r="K50" s="264">
        <f t="shared" si="4"/>
        <v>88</v>
      </c>
    </row>
    <row r="51" spans="1:12" ht="27" customHeight="1" x14ac:dyDescent="0.25">
      <c r="A51" s="128">
        <v>5</v>
      </c>
      <c r="B51" s="127" t="s">
        <v>417</v>
      </c>
      <c r="C51" s="127" t="s">
        <v>418</v>
      </c>
      <c r="D51" s="125">
        <v>100</v>
      </c>
      <c r="E51" s="126">
        <v>80</v>
      </c>
      <c r="F51" s="126">
        <v>70</v>
      </c>
      <c r="G51" s="128">
        <v>5</v>
      </c>
      <c r="H51" s="127" t="s">
        <v>418</v>
      </c>
      <c r="I51" s="264">
        <f t="shared" si="4"/>
        <v>110.00000000000001</v>
      </c>
      <c r="J51" s="264">
        <f t="shared" si="4"/>
        <v>88</v>
      </c>
      <c r="K51" s="264">
        <f t="shared" si="4"/>
        <v>77</v>
      </c>
    </row>
    <row r="52" spans="1:12" ht="21.75" customHeight="1" x14ac:dyDescent="0.25">
      <c r="A52" s="120" t="s">
        <v>354</v>
      </c>
      <c r="B52" s="122" t="s">
        <v>419</v>
      </c>
      <c r="C52" s="122"/>
      <c r="D52" s="125"/>
      <c r="E52" s="126"/>
      <c r="F52" s="126"/>
      <c r="G52" s="120" t="s">
        <v>354</v>
      </c>
      <c r="H52" s="122" t="s">
        <v>419</v>
      </c>
      <c r="I52" s="264"/>
      <c r="J52" s="264"/>
      <c r="K52" s="264"/>
    </row>
    <row r="53" spans="1:12" ht="60.75" customHeight="1" x14ac:dyDescent="0.25">
      <c r="A53" s="128">
        <v>1</v>
      </c>
      <c r="B53" s="127" t="s">
        <v>420</v>
      </c>
      <c r="C53" s="127"/>
      <c r="D53" s="125">
        <v>430</v>
      </c>
      <c r="E53" s="126">
        <v>240</v>
      </c>
      <c r="F53" s="126">
        <v>140</v>
      </c>
      <c r="G53" s="128">
        <v>1</v>
      </c>
      <c r="H53" s="127" t="s">
        <v>421</v>
      </c>
      <c r="I53" s="264">
        <f t="shared" si="4"/>
        <v>473.00000000000006</v>
      </c>
      <c r="J53" s="264">
        <f t="shared" si="4"/>
        <v>264</v>
      </c>
      <c r="K53" s="264">
        <f t="shared" si="4"/>
        <v>154</v>
      </c>
      <c r="L53" s="118" t="s">
        <v>422</v>
      </c>
    </row>
    <row r="54" spans="1:12" ht="21.75" customHeight="1" x14ac:dyDescent="0.25">
      <c r="A54" s="128">
        <v>2</v>
      </c>
      <c r="B54" s="127" t="s">
        <v>423</v>
      </c>
      <c r="C54" s="127"/>
      <c r="D54" s="125">
        <v>160</v>
      </c>
      <c r="E54" s="126">
        <v>90</v>
      </c>
      <c r="F54" s="126">
        <v>70</v>
      </c>
      <c r="G54" s="128">
        <v>2</v>
      </c>
      <c r="H54" s="127" t="s">
        <v>423</v>
      </c>
      <c r="I54" s="264">
        <f t="shared" si="4"/>
        <v>176</v>
      </c>
      <c r="J54" s="264">
        <f t="shared" si="4"/>
        <v>99.000000000000014</v>
      </c>
      <c r="K54" s="264">
        <f t="shared" si="4"/>
        <v>77</v>
      </c>
    </row>
    <row r="55" spans="1:12" ht="42" customHeight="1" x14ac:dyDescent="0.25">
      <c r="A55" s="128">
        <v>3</v>
      </c>
      <c r="B55" s="127" t="s">
        <v>424</v>
      </c>
      <c r="C55" s="127"/>
      <c r="D55" s="125">
        <v>200</v>
      </c>
      <c r="E55" s="126">
        <v>130</v>
      </c>
      <c r="F55" s="126">
        <v>80</v>
      </c>
      <c r="G55" s="128">
        <v>3</v>
      </c>
      <c r="H55" s="127" t="s">
        <v>424</v>
      </c>
      <c r="I55" s="264">
        <f t="shared" si="4"/>
        <v>220.00000000000003</v>
      </c>
      <c r="J55" s="264">
        <f t="shared" si="4"/>
        <v>143</v>
      </c>
      <c r="K55" s="264">
        <f t="shared" si="4"/>
        <v>88</v>
      </c>
    </row>
    <row r="56" spans="1:12" ht="63" customHeight="1" x14ac:dyDescent="0.25">
      <c r="A56" s="128">
        <v>4</v>
      </c>
      <c r="B56" s="127" t="s">
        <v>425</v>
      </c>
      <c r="C56" s="127"/>
      <c r="D56" s="125">
        <v>180</v>
      </c>
      <c r="E56" s="126">
        <v>110</v>
      </c>
      <c r="F56" s="126">
        <v>70</v>
      </c>
      <c r="G56" s="128">
        <v>4</v>
      </c>
      <c r="H56" s="127" t="s">
        <v>426</v>
      </c>
      <c r="I56" s="264">
        <f t="shared" si="4"/>
        <v>198.00000000000003</v>
      </c>
      <c r="J56" s="264">
        <f t="shared" si="4"/>
        <v>121.00000000000001</v>
      </c>
      <c r="K56" s="264">
        <f t="shared" si="4"/>
        <v>77</v>
      </c>
      <c r="L56" s="118" t="s">
        <v>422</v>
      </c>
    </row>
    <row r="57" spans="1:12" ht="36.75" customHeight="1" x14ac:dyDescent="0.25">
      <c r="A57" s="128">
        <v>5</v>
      </c>
      <c r="B57" s="127" t="s">
        <v>399</v>
      </c>
      <c r="C57" s="127"/>
      <c r="D57" s="125">
        <v>75</v>
      </c>
      <c r="E57" s="126">
        <v>70</v>
      </c>
      <c r="F57" s="126">
        <v>60</v>
      </c>
      <c r="G57" s="128">
        <v>5</v>
      </c>
      <c r="H57" s="124" t="s">
        <v>375</v>
      </c>
      <c r="I57" s="264">
        <f t="shared" si="4"/>
        <v>82.5</v>
      </c>
      <c r="J57" s="264">
        <f t="shared" si="4"/>
        <v>77</v>
      </c>
      <c r="K57" s="264">
        <f t="shared" si="4"/>
        <v>66</v>
      </c>
    </row>
    <row r="58" spans="1:12" ht="23.25" customHeight="1" x14ac:dyDescent="0.25">
      <c r="A58" s="120" t="s">
        <v>427</v>
      </c>
      <c r="B58" s="122" t="s">
        <v>428</v>
      </c>
      <c r="C58" s="122"/>
      <c r="D58" s="125"/>
      <c r="E58" s="126"/>
      <c r="F58" s="126"/>
      <c r="G58" s="120" t="s">
        <v>427</v>
      </c>
      <c r="H58" s="122" t="s">
        <v>428</v>
      </c>
      <c r="I58" s="264"/>
      <c r="J58" s="264"/>
      <c r="K58" s="264"/>
    </row>
    <row r="59" spans="1:12" ht="52.5" customHeight="1" x14ac:dyDescent="0.25">
      <c r="A59" s="128">
        <v>1</v>
      </c>
      <c r="B59" s="127" t="s">
        <v>429</v>
      </c>
      <c r="C59" s="127"/>
      <c r="D59" s="125">
        <v>350</v>
      </c>
      <c r="E59" s="126">
        <v>270</v>
      </c>
      <c r="F59" s="126">
        <v>150</v>
      </c>
      <c r="G59" s="128">
        <v>1</v>
      </c>
      <c r="H59" s="127" t="s">
        <v>429</v>
      </c>
      <c r="I59" s="264">
        <f t="shared" si="4"/>
        <v>385.00000000000006</v>
      </c>
      <c r="J59" s="264">
        <f t="shared" si="4"/>
        <v>297</v>
      </c>
      <c r="K59" s="264">
        <f t="shared" si="4"/>
        <v>165</v>
      </c>
    </row>
    <row r="60" spans="1:12" ht="27" customHeight="1" x14ac:dyDescent="0.25">
      <c r="A60" s="128"/>
      <c r="B60" s="127"/>
      <c r="C60" s="127"/>
      <c r="D60" s="125"/>
      <c r="E60" s="126"/>
      <c r="F60" s="126"/>
      <c r="G60" s="128">
        <v>2</v>
      </c>
      <c r="H60" s="127" t="s">
        <v>1307</v>
      </c>
      <c r="I60" s="264"/>
      <c r="J60" s="264"/>
      <c r="K60" s="264"/>
    </row>
    <row r="61" spans="1:12" ht="27" customHeight="1" x14ac:dyDescent="0.25">
      <c r="A61" s="128"/>
      <c r="B61" s="127"/>
      <c r="C61" s="127"/>
      <c r="D61" s="125"/>
      <c r="E61" s="126"/>
      <c r="F61" s="126"/>
      <c r="G61" s="128"/>
      <c r="H61" s="127" t="s">
        <v>430</v>
      </c>
      <c r="I61" s="264">
        <v>160</v>
      </c>
      <c r="J61" s="264"/>
      <c r="K61" s="264"/>
    </row>
    <row r="62" spans="1:12" ht="33" customHeight="1" x14ac:dyDescent="0.25">
      <c r="A62" s="128">
        <v>2</v>
      </c>
      <c r="B62" s="127" t="s">
        <v>431</v>
      </c>
      <c r="C62" s="127"/>
      <c r="D62" s="125">
        <v>130</v>
      </c>
      <c r="E62" s="126">
        <v>80</v>
      </c>
      <c r="F62" s="126">
        <v>70</v>
      </c>
      <c r="G62" s="128">
        <v>3</v>
      </c>
      <c r="H62" s="127" t="s">
        <v>431</v>
      </c>
      <c r="I62" s="264">
        <f t="shared" si="4"/>
        <v>143</v>
      </c>
      <c r="J62" s="264">
        <f t="shared" si="4"/>
        <v>88</v>
      </c>
      <c r="K62" s="264">
        <f t="shared" si="4"/>
        <v>77</v>
      </c>
    </row>
    <row r="63" spans="1:12" ht="36.75" customHeight="1" x14ac:dyDescent="0.25">
      <c r="A63" s="128">
        <v>3</v>
      </c>
      <c r="B63" s="127" t="s">
        <v>399</v>
      </c>
      <c r="C63" s="127"/>
      <c r="D63" s="125">
        <v>70</v>
      </c>
      <c r="E63" s="126">
        <v>65</v>
      </c>
      <c r="F63" s="126">
        <v>60</v>
      </c>
      <c r="G63" s="128">
        <v>4</v>
      </c>
      <c r="H63" s="124" t="s">
        <v>375</v>
      </c>
      <c r="I63" s="264">
        <f t="shared" si="4"/>
        <v>77</v>
      </c>
      <c r="J63" s="264">
        <f t="shared" si="4"/>
        <v>71.5</v>
      </c>
      <c r="K63" s="264">
        <f t="shared" si="4"/>
        <v>66</v>
      </c>
    </row>
    <row r="64" spans="1:12" ht="21.75" customHeight="1" x14ac:dyDescent="0.25">
      <c r="A64" s="120" t="s">
        <v>432</v>
      </c>
      <c r="B64" s="122" t="s">
        <v>433</v>
      </c>
      <c r="C64" s="122"/>
      <c r="D64" s="125"/>
      <c r="E64" s="126"/>
      <c r="F64" s="126"/>
      <c r="G64" s="120" t="s">
        <v>432</v>
      </c>
      <c r="H64" s="122" t="s">
        <v>433</v>
      </c>
      <c r="I64" s="264"/>
      <c r="J64" s="264"/>
      <c r="K64" s="264"/>
    </row>
    <row r="65" spans="1:12" ht="39.75" customHeight="1" x14ac:dyDescent="0.25">
      <c r="A65" s="128">
        <v>1</v>
      </c>
      <c r="B65" s="127" t="s">
        <v>434</v>
      </c>
      <c r="C65" s="127"/>
      <c r="D65" s="125">
        <v>300</v>
      </c>
      <c r="E65" s="126">
        <v>150</v>
      </c>
      <c r="F65" s="126">
        <v>80</v>
      </c>
      <c r="G65" s="128">
        <v>1</v>
      </c>
      <c r="H65" s="127" t="s">
        <v>434</v>
      </c>
      <c r="I65" s="264">
        <f t="shared" si="4"/>
        <v>330</v>
      </c>
      <c r="J65" s="264">
        <f t="shared" si="4"/>
        <v>165</v>
      </c>
      <c r="K65" s="264">
        <f t="shared" si="4"/>
        <v>88</v>
      </c>
    </row>
    <row r="66" spans="1:12" ht="45" customHeight="1" x14ac:dyDescent="0.25">
      <c r="A66" s="128">
        <v>2</v>
      </c>
      <c r="B66" s="127" t="s">
        <v>435</v>
      </c>
      <c r="C66" s="127"/>
      <c r="D66" s="125">
        <v>220</v>
      </c>
      <c r="E66" s="126">
        <v>100</v>
      </c>
      <c r="F66" s="126">
        <v>75</v>
      </c>
      <c r="G66" s="128">
        <v>2</v>
      </c>
      <c r="H66" s="127" t="s">
        <v>435</v>
      </c>
      <c r="I66" s="264">
        <f t="shared" si="4"/>
        <v>242.00000000000003</v>
      </c>
      <c r="J66" s="264">
        <f t="shared" si="4"/>
        <v>110.00000000000001</v>
      </c>
      <c r="K66" s="264">
        <f t="shared" si="4"/>
        <v>82.5</v>
      </c>
    </row>
    <row r="67" spans="1:12" ht="27.75" customHeight="1" x14ac:dyDescent="0.25">
      <c r="A67" s="128">
        <v>3</v>
      </c>
      <c r="B67" s="127" t="s">
        <v>431</v>
      </c>
      <c r="C67" s="127"/>
      <c r="D67" s="125">
        <v>130</v>
      </c>
      <c r="E67" s="126">
        <v>80</v>
      </c>
      <c r="F67" s="126">
        <v>70</v>
      </c>
      <c r="G67" s="128">
        <v>3</v>
      </c>
      <c r="H67" s="127" t="s">
        <v>431</v>
      </c>
      <c r="I67" s="264">
        <f t="shared" si="4"/>
        <v>143</v>
      </c>
      <c r="J67" s="264">
        <f t="shared" si="4"/>
        <v>88</v>
      </c>
      <c r="K67" s="264">
        <f t="shared" si="4"/>
        <v>77</v>
      </c>
    </row>
    <row r="68" spans="1:12" ht="38.25" customHeight="1" x14ac:dyDescent="0.25">
      <c r="A68" s="128">
        <v>4</v>
      </c>
      <c r="B68" s="127" t="s">
        <v>399</v>
      </c>
      <c r="C68" s="127"/>
      <c r="D68" s="125">
        <v>70</v>
      </c>
      <c r="E68" s="126">
        <v>65</v>
      </c>
      <c r="F68" s="126">
        <v>60</v>
      </c>
      <c r="G68" s="128">
        <v>4</v>
      </c>
      <c r="H68" s="124" t="s">
        <v>375</v>
      </c>
      <c r="I68" s="264">
        <f t="shared" si="4"/>
        <v>77</v>
      </c>
      <c r="J68" s="264">
        <f t="shared" si="4"/>
        <v>71.5</v>
      </c>
      <c r="K68" s="264">
        <f t="shared" si="4"/>
        <v>66</v>
      </c>
    </row>
    <row r="69" spans="1:12" ht="25.5" customHeight="1" x14ac:dyDescent="0.25">
      <c r="A69" s="120" t="s">
        <v>436</v>
      </c>
      <c r="B69" s="122" t="s">
        <v>437</v>
      </c>
      <c r="C69" s="122"/>
      <c r="D69" s="125"/>
      <c r="E69" s="126"/>
      <c r="F69" s="126"/>
      <c r="G69" s="120" t="s">
        <v>436</v>
      </c>
      <c r="H69" s="122" t="s">
        <v>437</v>
      </c>
      <c r="I69" s="264"/>
      <c r="J69" s="264"/>
      <c r="K69" s="264"/>
    </row>
    <row r="70" spans="1:12" ht="33.75" customHeight="1" x14ac:dyDescent="0.25">
      <c r="A70" s="128">
        <v>1</v>
      </c>
      <c r="B70" s="127" t="s">
        <v>438</v>
      </c>
      <c r="C70" s="127"/>
      <c r="D70" s="125">
        <v>300</v>
      </c>
      <c r="E70" s="126">
        <v>160</v>
      </c>
      <c r="F70" s="126">
        <v>90</v>
      </c>
      <c r="G70" s="128">
        <v>1</v>
      </c>
      <c r="H70" s="127" t="s">
        <v>438</v>
      </c>
      <c r="I70" s="264">
        <f t="shared" si="4"/>
        <v>330</v>
      </c>
      <c r="J70" s="264">
        <f t="shared" si="4"/>
        <v>176</v>
      </c>
      <c r="K70" s="264">
        <f t="shared" si="4"/>
        <v>99.000000000000014</v>
      </c>
    </row>
    <row r="71" spans="1:12" ht="30.75" customHeight="1" x14ac:dyDescent="0.25">
      <c r="A71" s="128">
        <v>2</v>
      </c>
      <c r="B71" s="127" t="s">
        <v>439</v>
      </c>
      <c r="C71" s="127"/>
      <c r="D71" s="125">
        <v>250</v>
      </c>
      <c r="E71" s="126">
        <v>120</v>
      </c>
      <c r="F71" s="126">
        <v>70</v>
      </c>
      <c r="G71" s="128">
        <v>2</v>
      </c>
      <c r="H71" s="127" t="s">
        <v>439</v>
      </c>
      <c r="I71" s="264">
        <f t="shared" si="4"/>
        <v>275</v>
      </c>
      <c r="J71" s="264">
        <f t="shared" si="4"/>
        <v>132</v>
      </c>
      <c r="K71" s="264">
        <f t="shared" si="4"/>
        <v>77</v>
      </c>
    </row>
    <row r="72" spans="1:12" ht="24" customHeight="1" x14ac:dyDescent="0.25">
      <c r="A72" s="128">
        <v>3</v>
      </c>
      <c r="B72" s="127" t="s">
        <v>440</v>
      </c>
      <c r="C72" s="127"/>
      <c r="D72" s="125">
        <v>130</v>
      </c>
      <c r="E72" s="126">
        <v>80</v>
      </c>
      <c r="F72" s="126">
        <v>70</v>
      </c>
      <c r="G72" s="128">
        <v>3</v>
      </c>
      <c r="H72" s="127" t="s">
        <v>440</v>
      </c>
      <c r="I72" s="264">
        <f t="shared" si="4"/>
        <v>143</v>
      </c>
      <c r="J72" s="264">
        <f t="shared" si="4"/>
        <v>88</v>
      </c>
      <c r="K72" s="264">
        <f t="shared" si="4"/>
        <v>77</v>
      </c>
    </row>
    <row r="73" spans="1:12" ht="36" customHeight="1" x14ac:dyDescent="0.25">
      <c r="A73" s="128">
        <v>4</v>
      </c>
      <c r="B73" s="127" t="s">
        <v>399</v>
      </c>
      <c r="C73" s="127"/>
      <c r="D73" s="125">
        <v>70</v>
      </c>
      <c r="E73" s="126">
        <v>65</v>
      </c>
      <c r="F73" s="126">
        <v>60</v>
      </c>
      <c r="G73" s="128">
        <v>4</v>
      </c>
      <c r="H73" s="124" t="s">
        <v>375</v>
      </c>
      <c r="I73" s="264">
        <f t="shared" si="4"/>
        <v>77</v>
      </c>
      <c r="J73" s="264">
        <f t="shared" si="4"/>
        <v>71.5</v>
      </c>
      <c r="K73" s="264">
        <f t="shared" si="4"/>
        <v>66</v>
      </c>
    </row>
    <row r="74" spans="1:12" ht="23.25" customHeight="1" x14ac:dyDescent="0.25">
      <c r="A74" s="120" t="s">
        <v>441</v>
      </c>
      <c r="B74" s="122" t="s">
        <v>442</v>
      </c>
      <c r="C74" s="122"/>
      <c r="D74" s="125"/>
      <c r="E74" s="126"/>
      <c r="F74" s="126"/>
      <c r="G74" s="120" t="s">
        <v>441</v>
      </c>
      <c r="H74" s="122" t="s">
        <v>442</v>
      </c>
      <c r="I74" s="264"/>
      <c r="J74" s="264"/>
      <c r="K74" s="264"/>
    </row>
    <row r="75" spans="1:12" ht="21" customHeight="1" x14ac:dyDescent="0.25">
      <c r="A75" s="128"/>
      <c r="B75" s="127"/>
      <c r="C75" s="127"/>
      <c r="D75" s="125"/>
      <c r="E75" s="126"/>
      <c r="F75" s="126"/>
      <c r="G75" s="128">
        <v>1</v>
      </c>
      <c r="H75" s="127" t="s">
        <v>988</v>
      </c>
      <c r="I75" s="264"/>
      <c r="J75" s="264"/>
      <c r="K75" s="264"/>
    </row>
    <row r="76" spans="1:12" ht="21" customHeight="1" x14ac:dyDescent="0.25">
      <c r="A76" s="128"/>
      <c r="B76" s="127"/>
      <c r="C76" s="127"/>
      <c r="D76" s="125"/>
      <c r="E76" s="126"/>
      <c r="F76" s="126"/>
      <c r="G76" s="128"/>
      <c r="H76" s="127" t="s">
        <v>443</v>
      </c>
      <c r="I76" s="264">
        <v>420</v>
      </c>
      <c r="J76" s="264"/>
      <c r="K76" s="264"/>
      <c r="L76" s="129" t="s">
        <v>398</v>
      </c>
    </row>
    <row r="77" spans="1:12" ht="21" customHeight="1" x14ac:dyDescent="0.25">
      <c r="A77" s="128"/>
      <c r="B77" s="127"/>
      <c r="C77" s="127"/>
      <c r="D77" s="125"/>
      <c r="E77" s="126"/>
      <c r="F77" s="126"/>
      <c r="G77" s="128"/>
      <c r="H77" s="127" t="s">
        <v>444</v>
      </c>
      <c r="I77" s="264">
        <v>390</v>
      </c>
      <c r="J77" s="264"/>
      <c r="K77" s="264"/>
      <c r="L77" s="129" t="s">
        <v>398</v>
      </c>
    </row>
    <row r="78" spans="1:12" ht="21" customHeight="1" x14ac:dyDescent="0.25">
      <c r="A78" s="128"/>
      <c r="B78" s="127"/>
      <c r="C78" s="127"/>
      <c r="D78" s="125"/>
      <c r="E78" s="126"/>
      <c r="F78" s="126"/>
      <c r="G78" s="128"/>
      <c r="H78" s="127" t="s">
        <v>445</v>
      </c>
      <c r="I78" s="264">
        <v>360</v>
      </c>
      <c r="J78" s="264"/>
      <c r="K78" s="264"/>
      <c r="L78" s="129" t="s">
        <v>398</v>
      </c>
    </row>
    <row r="79" spans="1:12" ht="52.5" customHeight="1" x14ac:dyDescent="0.25">
      <c r="A79" s="128">
        <v>1</v>
      </c>
      <c r="B79" s="127" t="s">
        <v>446</v>
      </c>
      <c r="C79" s="127"/>
      <c r="D79" s="125">
        <v>250</v>
      </c>
      <c r="E79" s="126">
        <v>140</v>
      </c>
      <c r="F79" s="126">
        <v>80</v>
      </c>
      <c r="G79" s="128">
        <v>2</v>
      </c>
      <c r="H79" s="127" t="s">
        <v>447</v>
      </c>
      <c r="I79" s="264">
        <f>250*1.1</f>
        <v>275</v>
      </c>
      <c r="J79" s="264">
        <f>140*1.1</f>
        <v>154</v>
      </c>
      <c r="K79" s="264">
        <f>80*1.1</f>
        <v>88</v>
      </c>
      <c r="L79" s="129" t="s">
        <v>1107</v>
      </c>
    </row>
    <row r="80" spans="1:12" ht="49.5" customHeight="1" x14ac:dyDescent="0.25">
      <c r="A80" s="128">
        <v>2</v>
      </c>
      <c r="B80" s="127" t="s">
        <v>448</v>
      </c>
      <c r="C80" s="127"/>
      <c r="D80" s="125">
        <v>160</v>
      </c>
      <c r="E80" s="126">
        <v>90</v>
      </c>
      <c r="F80" s="126">
        <v>75</v>
      </c>
      <c r="G80" s="128">
        <v>3</v>
      </c>
      <c r="H80" s="127" t="s">
        <v>448</v>
      </c>
      <c r="I80" s="264">
        <f t="shared" si="4"/>
        <v>176</v>
      </c>
      <c r="J80" s="264">
        <f t="shared" si="4"/>
        <v>99.000000000000014</v>
      </c>
      <c r="K80" s="264">
        <f t="shared" si="4"/>
        <v>82.5</v>
      </c>
    </row>
    <row r="81" spans="1:11" ht="23.25" customHeight="1" x14ac:dyDescent="0.25">
      <c r="A81" s="128">
        <v>3</v>
      </c>
      <c r="B81" s="127" t="s">
        <v>440</v>
      </c>
      <c r="C81" s="127"/>
      <c r="D81" s="125">
        <v>130</v>
      </c>
      <c r="E81" s="126">
        <v>80</v>
      </c>
      <c r="F81" s="126">
        <v>70</v>
      </c>
      <c r="G81" s="128">
        <v>4</v>
      </c>
      <c r="H81" s="127" t="s">
        <v>440</v>
      </c>
      <c r="I81" s="264">
        <f t="shared" si="4"/>
        <v>143</v>
      </c>
      <c r="J81" s="264">
        <f t="shared" si="4"/>
        <v>88</v>
      </c>
      <c r="K81" s="264">
        <f t="shared" si="4"/>
        <v>77</v>
      </c>
    </row>
    <row r="82" spans="1:11" ht="33" customHeight="1" x14ac:dyDescent="0.25">
      <c r="A82" s="128">
        <v>4</v>
      </c>
      <c r="B82" s="127" t="s">
        <v>399</v>
      </c>
      <c r="C82" s="127"/>
      <c r="D82" s="125">
        <v>70</v>
      </c>
      <c r="E82" s="126">
        <v>65</v>
      </c>
      <c r="F82" s="126">
        <v>60</v>
      </c>
      <c r="G82" s="128">
        <v>5</v>
      </c>
      <c r="H82" s="124" t="s">
        <v>375</v>
      </c>
      <c r="I82" s="264">
        <f t="shared" si="4"/>
        <v>77</v>
      </c>
      <c r="J82" s="264">
        <f t="shared" si="4"/>
        <v>71.5</v>
      </c>
      <c r="K82" s="264">
        <f t="shared" si="4"/>
        <v>66</v>
      </c>
    </row>
    <row r="83" spans="1:11" ht="24.75" customHeight="1" x14ac:dyDescent="0.25">
      <c r="A83" s="120" t="s">
        <v>449</v>
      </c>
      <c r="B83" s="122" t="s">
        <v>450</v>
      </c>
      <c r="C83" s="122"/>
      <c r="D83" s="125"/>
      <c r="E83" s="126"/>
      <c r="F83" s="126"/>
      <c r="G83" s="120" t="s">
        <v>449</v>
      </c>
      <c r="H83" s="122" t="s">
        <v>450</v>
      </c>
      <c r="I83" s="264"/>
      <c r="J83" s="264"/>
      <c r="K83" s="264"/>
    </row>
    <row r="84" spans="1:11" ht="57" customHeight="1" x14ac:dyDescent="0.25">
      <c r="A84" s="128">
        <v>1</v>
      </c>
      <c r="B84" s="127" t="s">
        <v>451</v>
      </c>
      <c r="C84" s="127"/>
      <c r="D84" s="125">
        <v>280</v>
      </c>
      <c r="E84" s="126">
        <v>150</v>
      </c>
      <c r="F84" s="126">
        <v>80</v>
      </c>
      <c r="G84" s="128">
        <v>1</v>
      </c>
      <c r="H84" s="127" t="s">
        <v>451</v>
      </c>
      <c r="I84" s="264">
        <f t="shared" si="4"/>
        <v>308</v>
      </c>
      <c r="J84" s="264">
        <f t="shared" si="4"/>
        <v>165</v>
      </c>
      <c r="K84" s="264">
        <f t="shared" si="4"/>
        <v>88</v>
      </c>
    </row>
    <row r="85" spans="1:11" ht="29.25" customHeight="1" x14ac:dyDescent="0.25">
      <c r="A85" s="128">
        <v>2</v>
      </c>
      <c r="B85" s="127" t="s">
        <v>440</v>
      </c>
      <c r="C85" s="127"/>
      <c r="D85" s="125">
        <v>130</v>
      </c>
      <c r="E85" s="126">
        <v>80</v>
      </c>
      <c r="F85" s="126">
        <v>70</v>
      </c>
      <c r="G85" s="128">
        <v>2</v>
      </c>
      <c r="H85" s="127" t="s">
        <v>440</v>
      </c>
      <c r="I85" s="264">
        <f t="shared" si="4"/>
        <v>143</v>
      </c>
      <c r="J85" s="264">
        <f t="shared" si="4"/>
        <v>88</v>
      </c>
      <c r="K85" s="264">
        <f t="shared" si="4"/>
        <v>77</v>
      </c>
    </row>
    <row r="86" spans="1:11" ht="54" customHeight="1" x14ac:dyDescent="0.25">
      <c r="A86" s="128">
        <v>3</v>
      </c>
      <c r="B86" s="124" t="s">
        <v>452</v>
      </c>
      <c r="C86" s="124"/>
      <c r="D86" s="125">
        <v>140</v>
      </c>
      <c r="E86" s="126">
        <v>90</v>
      </c>
      <c r="F86" s="126">
        <v>70</v>
      </c>
      <c r="G86" s="128">
        <v>3</v>
      </c>
      <c r="H86" s="124" t="s">
        <v>452</v>
      </c>
      <c r="I86" s="264">
        <f t="shared" si="4"/>
        <v>154</v>
      </c>
      <c r="J86" s="264">
        <f t="shared" si="4"/>
        <v>99.000000000000014</v>
      </c>
      <c r="K86" s="264">
        <f t="shared" si="4"/>
        <v>77</v>
      </c>
    </row>
    <row r="87" spans="1:11" ht="156" customHeight="1" x14ac:dyDescent="0.25">
      <c r="A87" s="128">
        <v>4</v>
      </c>
      <c r="B87" s="124" t="s">
        <v>453</v>
      </c>
      <c r="C87" s="124"/>
      <c r="D87" s="125">
        <v>160</v>
      </c>
      <c r="E87" s="126">
        <v>100</v>
      </c>
      <c r="F87" s="126">
        <v>80</v>
      </c>
      <c r="G87" s="128">
        <v>4</v>
      </c>
      <c r="H87" s="124" t="s">
        <v>453</v>
      </c>
      <c r="I87" s="264">
        <f t="shared" si="4"/>
        <v>176</v>
      </c>
      <c r="J87" s="264">
        <f t="shared" si="4"/>
        <v>110.00000000000001</v>
      </c>
      <c r="K87" s="264">
        <f t="shared" si="4"/>
        <v>88</v>
      </c>
    </row>
    <row r="88" spans="1:11" ht="40.5" customHeight="1" x14ac:dyDescent="0.25">
      <c r="A88" s="128">
        <v>5</v>
      </c>
      <c r="B88" s="127" t="s">
        <v>374</v>
      </c>
      <c r="C88" s="127"/>
      <c r="D88" s="125">
        <v>70</v>
      </c>
      <c r="E88" s="126">
        <v>65</v>
      </c>
      <c r="F88" s="126">
        <v>60</v>
      </c>
      <c r="G88" s="128">
        <v>5</v>
      </c>
      <c r="H88" s="124" t="s">
        <v>375</v>
      </c>
      <c r="I88" s="264">
        <f t="shared" si="4"/>
        <v>77</v>
      </c>
      <c r="J88" s="264">
        <f t="shared" si="4"/>
        <v>71.5</v>
      </c>
      <c r="K88" s="264">
        <f t="shared" si="4"/>
        <v>66</v>
      </c>
    </row>
    <row r="89" spans="1:11" ht="24" customHeight="1" x14ac:dyDescent="0.25">
      <c r="A89" s="132" t="s">
        <v>454</v>
      </c>
      <c r="B89" s="122" t="s">
        <v>455</v>
      </c>
      <c r="C89" s="122"/>
      <c r="D89" s="125"/>
      <c r="E89" s="126"/>
      <c r="F89" s="126"/>
      <c r="G89" s="132" t="s">
        <v>454</v>
      </c>
      <c r="H89" s="122" t="s">
        <v>455</v>
      </c>
      <c r="I89" s="264"/>
      <c r="J89" s="264"/>
      <c r="K89" s="264"/>
    </row>
    <row r="90" spans="1:11" ht="48" customHeight="1" x14ac:dyDescent="0.25">
      <c r="A90" s="128">
        <v>1</v>
      </c>
      <c r="B90" s="127" t="s">
        <v>456</v>
      </c>
      <c r="C90" s="127"/>
      <c r="D90" s="125">
        <v>330</v>
      </c>
      <c r="E90" s="126">
        <v>190</v>
      </c>
      <c r="F90" s="126">
        <v>130</v>
      </c>
      <c r="G90" s="128">
        <v>1</v>
      </c>
      <c r="H90" s="127" t="s">
        <v>456</v>
      </c>
      <c r="I90" s="264">
        <f t="shared" si="4"/>
        <v>363.00000000000006</v>
      </c>
      <c r="J90" s="264">
        <f t="shared" si="4"/>
        <v>209.00000000000003</v>
      </c>
      <c r="K90" s="264">
        <f t="shared" si="4"/>
        <v>143</v>
      </c>
    </row>
    <row r="91" spans="1:11" ht="33" customHeight="1" x14ac:dyDescent="0.25">
      <c r="A91" s="128">
        <v>2</v>
      </c>
      <c r="B91" s="127" t="s">
        <v>431</v>
      </c>
      <c r="C91" s="127"/>
      <c r="D91" s="125">
        <v>190</v>
      </c>
      <c r="E91" s="126">
        <v>150</v>
      </c>
      <c r="F91" s="126">
        <v>70</v>
      </c>
      <c r="G91" s="128">
        <v>2</v>
      </c>
      <c r="H91" s="127" t="s">
        <v>431</v>
      </c>
      <c r="I91" s="264">
        <f t="shared" si="4"/>
        <v>209.00000000000003</v>
      </c>
      <c r="J91" s="264">
        <f t="shared" si="4"/>
        <v>165</v>
      </c>
      <c r="K91" s="264">
        <f t="shared" si="4"/>
        <v>77</v>
      </c>
    </row>
    <row r="92" spans="1:11" ht="39" customHeight="1" x14ac:dyDescent="0.25">
      <c r="A92" s="128">
        <v>3</v>
      </c>
      <c r="B92" s="127" t="s">
        <v>399</v>
      </c>
      <c r="C92" s="127"/>
      <c r="D92" s="125">
        <v>75</v>
      </c>
      <c r="E92" s="126">
        <v>70</v>
      </c>
      <c r="F92" s="126">
        <v>60</v>
      </c>
      <c r="G92" s="128">
        <v>3</v>
      </c>
      <c r="H92" s="124" t="s">
        <v>375</v>
      </c>
      <c r="I92" s="264">
        <f t="shared" si="4"/>
        <v>82.5</v>
      </c>
      <c r="J92" s="264">
        <f t="shared" si="4"/>
        <v>77</v>
      </c>
      <c r="K92" s="264">
        <f t="shared" si="4"/>
        <v>66</v>
      </c>
    </row>
    <row r="93" spans="1:11" ht="33" customHeight="1" x14ac:dyDescent="0.25">
      <c r="A93" s="128">
        <v>4</v>
      </c>
      <c r="B93" s="124" t="s">
        <v>457</v>
      </c>
      <c r="C93" s="124"/>
      <c r="D93" s="125">
        <v>100</v>
      </c>
      <c r="E93" s="126">
        <v>90</v>
      </c>
      <c r="F93" s="126">
        <v>80</v>
      </c>
      <c r="G93" s="128">
        <v>4</v>
      </c>
      <c r="H93" s="124" t="s">
        <v>457</v>
      </c>
      <c r="I93" s="264">
        <f t="shared" si="4"/>
        <v>110.00000000000001</v>
      </c>
      <c r="J93" s="264">
        <f t="shared" si="4"/>
        <v>99.000000000000014</v>
      </c>
      <c r="K93" s="264">
        <f t="shared" si="4"/>
        <v>88</v>
      </c>
    </row>
    <row r="94" spans="1:11" ht="47.25" customHeight="1" x14ac:dyDescent="0.25">
      <c r="A94" s="123">
        <v>5</v>
      </c>
      <c r="B94" s="127" t="s">
        <v>458</v>
      </c>
      <c r="C94" s="127"/>
      <c r="D94" s="125">
        <v>100</v>
      </c>
      <c r="E94" s="126">
        <v>90</v>
      </c>
      <c r="F94" s="126">
        <v>80</v>
      </c>
      <c r="G94" s="123">
        <v>5</v>
      </c>
      <c r="H94" s="127" t="s">
        <v>458</v>
      </c>
      <c r="I94" s="264">
        <f t="shared" si="4"/>
        <v>110.00000000000001</v>
      </c>
      <c r="J94" s="264">
        <f t="shared" si="4"/>
        <v>99.000000000000014</v>
      </c>
      <c r="K94" s="264">
        <f t="shared" si="4"/>
        <v>88</v>
      </c>
    </row>
    <row r="95" spans="1:11" ht="25.5" customHeight="1" x14ac:dyDescent="0.25"/>
    <row r="96" spans="1:11" ht="25.5" customHeight="1" x14ac:dyDescent="0.25"/>
    <row r="97" spans="1:8" ht="25.5" customHeight="1" x14ac:dyDescent="0.25">
      <c r="A97" s="129"/>
      <c r="B97" s="134"/>
      <c r="C97" s="134"/>
      <c r="G97" s="129"/>
      <c r="H97" s="134"/>
    </row>
    <row r="98" spans="1:8" ht="25.5" customHeight="1" x14ac:dyDescent="0.25">
      <c r="A98" s="129"/>
      <c r="B98" s="134"/>
      <c r="C98" s="134"/>
      <c r="G98" s="129"/>
      <c r="H98" s="134"/>
    </row>
    <row r="99" spans="1:8" ht="25.5" customHeight="1" x14ac:dyDescent="0.25"/>
    <row r="100" spans="1:8" ht="25.5" customHeight="1" x14ac:dyDescent="0.25"/>
    <row r="101" spans="1:8" ht="25.5" customHeight="1" x14ac:dyDescent="0.25"/>
    <row r="102" spans="1:8" ht="25.5" customHeight="1" x14ac:dyDescent="0.25"/>
    <row r="103" spans="1:8" ht="25.5" customHeight="1" x14ac:dyDescent="0.25"/>
    <row r="104" spans="1:8" ht="25.5" customHeight="1" x14ac:dyDescent="0.25"/>
    <row r="105" spans="1:8" ht="25.5" customHeight="1" x14ac:dyDescent="0.25"/>
    <row r="106" spans="1:8" ht="25.5" customHeight="1" x14ac:dyDescent="0.25"/>
    <row r="107" spans="1:8" ht="25.5" customHeight="1" x14ac:dyDescent="0.25"/>
    <row r="108" spans="1:8" ht="25.5" customHeight="1" x14ac:dyDescent="0.25"/>
    <row r="109" spans="1:8" ht="25.5" customHeight="1" x14ac:dyDescent="0.25"/>
    <row r="110" spans="1:8" ht="25.5" customHeight="1" x14ac:dyDescent="0.25"/>
    <row r="111" spans="1:8" ht="25.5" customHeight="1" x14ac:dyDescent="0.25"/>
    <row r="112" spans="1:8" ht="25.5" customHeight="1" x14ac:dyDescent="0.25"/>
    <row r="113" ht="25.5" customHeight="1" x14ac:dyDescent="0.25"/>
    <row r="114" ht="25.5" customHeight="1" x14ac:dyDescent="0.25"/>
    <row r="115" ht="25.5" customHeight="1" x14ac:dyDescent="0.25"/>
    <row r="116" ht="25.5" customHeight="1" x14ac:dyDescent="0.25"/>
    <row r="117" ht="25.5" customHeight="1" x14ac:dyDescent="0.25"/>
    <row r="118" ht="25.5" customHeight="1" x14ac:dyDescent="0.25"/>
    <row r="119" ht="25.5" customHeight="1" x14ac:dyDescent="0.25"/>
    <row r="120" ht="25.5" customHeight="1" x14ac:dyDescent="0.25"/>
    <row r="121" ht="25.5" customHeight="1" x14ac:dyDescent="0.25"/>
    <row r="122" ht="25.5" customHeight="1" x14ac:dyDescent="0.25"/>
    <row r="123" ht="25.5" customHeight="1" x14ac:dyDescent="0.25"/>
    <row r="124" ht="25.5" customHeight="1" x14ac:dyDescent="0.25"/>
    <row r="125" ht="25.5" customHeight="1" x14ac:dyDescent="0.25"/>
    <row r="126" ht="25.5" customHeight="1" x14ac:dyDescent="0.25"/>
    <row r="127" ht="25.5" customHeight="1" x14ac:dyDescent="0.25"/>
    <row r="128" ht="25.5" customHeight="1" x14ac:dyDescent="0.25"/>
    <row r="129" ht="25.5" customHeight="1" x14ac:dyDescent="0.25"/>
    <row r="130" ht="25.5" customHeight="1" x14ac:dyDescent="0.25"/>
    <row r="131" ht="25.5" customHeight="1" x14ac:dyDescent="0.25"/>
    <row r="132" ht="25.5" customHeight="1" x14ac:dyDescent="0.25"/>
    <row r="133" ht="25.5" customHeight="1" x14ac:dyDescent="0.25"/>
    <row r="134" ht="25.5" customHeight="1" x14ac:dyDescent="0.25"/>
    <row r="135" ht="25.5" customHeight="1" x14ac:dyDescent="0.25"/>
    <row r="136" ht="25.5" customHeight="1" x14ac:dyDescent="0.25"/>
    <row r="137" ht="25.5" customHeight="1" x14ac:dyDescent="0.25"/>
    <row r="138" ht="25.5" customHeight="1" x14ac:dyDescent="0.25"/>
    <row r="139" ht="25.5" customHeight="1" x14ac:dyDescent="0.25"/>
    <row r="140" ht="25.5" customHeight="1" x14ac:dyDescent="0.25"/>
    <row r="141" ht="25.5" customHeight="1" x14ac:dyDescent="0.25"/>
    <row r="142" ht="25.5" customHeight="1" x14ac:dyDescent="0.25"/>
    <row r="143" ht="25.5" customHeight="1" x14ac:dyDescent="0.25"/>
    <row r="144" ht="25.5" customHeight="1" x14ac:dyDescent="0.25"/>
    <row r="145" ht="25.5" customHeight="1" x14ac:dyDescent="0.25"/>
    <row r="146" ht="25.5" customHeight="1" x14ac:dyDescent="0.25"/>
    <row r="147" ht="25.5" customHeight="1" x14ac:dyDescent="0.25"/>
    <row r="148" ht="25.5" customHeight="1" x14ac:dyDescent="0.25"/>
    <row r="149" ht="25.5" customHeight="1" x14ac:dyDescent="0.25"/>
    <row r="150" ht="25.5" customHeight="1" x14ac:dyDescent="0.25"/>
    <row r="151" ht="25.5" customHeight="1" x14ac:dyDescent="0.25"/>
    <row r="152" ht="25.5" customHeight="1" x14ac:dyDescent="0.25"/>
    <row r="153" ht="25.5" customHeight="1" x14ac:dyDescent="0.25"/>
    <row r="154" ht="25.5" customHeight="1" x14ac:dyDescent="0.25"/>
    <row r="155" ht="25.5" customHeight="1" x14ac:dyDescent="0.25"/>
    <row r="156" ht="25.5" customHeight="1" x14ac:dyDescent="0.25"/>
    <row r="157" ht="25.5" customHeight="1" x14ac:dyDescent="0.25"/>
    <row r="158" ht="25.5" customHeight="1" x14ac:dyDescent="0.25"/>
    <row r="159" ht="25.5" customHeight="1" x14ac:dyDescent="0.25"/>
    <row r="160" ht="25.5" customHeight="1" x14ac:dyDescent="0.25"/>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sheetData>
  <autoFilter ref="A2:WVT94">
    <filterColumn colId="3" showButton="0"/>
    <filterColumn colId="4" showButton="0"/>
    <filterColumn colId="8" showButton="0"/>
    <filterColumn colId="9" showButton="0"/>
  </autoFilter>
  <mergeCells count="12">
    <mergeCell ref="I3:K3"/>
    <mergeCell ref="L15:L17"/>
    <mergeCell ref="A1:F1"/>
    <mergeCell ref="G1:K1"/>
    <mergeCell ref="D2:F2"/>
    <mergeCell ref="A3:A4"/>
    <mergeCell ref="B3:B4"/>
    <mergeCell ref="C3:C4"/>
    <mergeCell ref="D3:F3"/>
    <mergeCell ref="G3:G4"/>
    <mergeCell ref="H3:H4"/>
    <mergeCell ref="H2:K2"/>
  </mergeCells>
  <pageMargins left="0.28740157500000002" right="0.19055118110236199" top="0.49055118110236201" bottom="0.19055118110236199" header="0.118110236220472" footer="0.118110236220472"/>
  <pageSetup scale="95" firstPageNumber="25" orientation="portrait" useFirstPageNumber="1" r:id="rId1"/>
  <headerFooter>
    <oddHeader>&amp;C&amp;P</oddHeader>
  </headerFooter>
  <colBreaks count="1" manualBreakCount="1">
    <brk id="12" max="9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6"/>
  <sheetViews>
    <sheetView topLeftCell="F1" zoomScale="85" zoomScaleNormal="85" workbookViewId="0">
      <selection activeCell="U9" sqref="U9"/>
    </sheetView>
  </sheetViews>
  <sheetFormatPr defaultRowHeight="18.75" x14ac:dyDescent="0.25"/>
  <cols>
    <col min="1" max="1" width="10.28515625" style="25" hidden="1" customWidth="1"/>
    <col min="2" max="2" width="53.85546875" style="23" hidden="1" customWidth="1"/>
    <col min="3" max="3" width="11.5703125" style="25" hidden="1" customWidth="1"/>
    <col min="4" max="4" width="11.42578125" style="25" hidden="1" customWidth="1"/>
    <col min="5" max="5" width="10.85546875" style="25" hidden="1" customWidth="1"/>
    <col min="6" max="6" width="8.28515625" style="25" customWidth="1"/>
    <col min="7" max="7" width="56.28515625" style="23" customWidth="1"/>
    <col min="8" max="8" width="13.5703125" style="25" customWidth="1"/>
    <col min="9" max="9" width="13.140625" style="25" customWidth="1"/>
    <col min="10" max="10" width="16" style="25" customWidth="1"/>
    <col min="11" max="13" width="0" style="25" hidden="1" customWidth="1"/>
    <col min="14" max="14" width="24.85546875" style="25" hidden="1" customWidth="1"/>
    <col min="15" max="15" width="27.28515625" style="23" hidden="1" customWidth="1"/>
    <col min="16" max="16" width="14.140625" style="23" hidden="1" customWidth="1"/>
    <col min="17" max="18" width="0" style="23" hidden="1" customWidth="1"/>
    <col min="19" max="256" width="9.140625" style="23"/>
    <col min="257" max="257" width="10.28515625" style="23" customWidth="1"/>
    <col min="258" max="258" width="53.85546875" style="23" customWidth="1"/>
    <col min="259" max="259" width="11.5703125" style="23" customWidth="1"/>
    <col min="260" max="260" width="11.42578125" style="23" customWidth="1"/>
    <col min="261" max="261" width="10.85546875" style="23" customWidth="1"/>
    <col min="262" max="262" width="10.28515625" style="23" customWidth="1"/>
    <col min="263" max="263" width="49.85546875" style="23" customWidth="1"/>
    <col min="264" max="269" width="9.140625" style="23"/>
    <col min="270" max="274" width="0" style="23" hidden="1" customWidth="1"/>
    <col min="275" max="512" width="9.140625" style="23"/>
    <col min="513" max="513" width="10.28515625" style="23" customWidth="1"/>
    <col min="514" max="514" width="53.85546875" style="23" customWidth="1"/>
    <col min="515" max="515" width="11.5703125" style="23" customWidth="1"/>
    <col min="516" max="516" width="11.42578125" style="23" customWidth="1"/>
    <col min="517" max="517" width="10.85546875" style="23" customWidth="1"/>
    <col min="518" max="518" width="10.28515625" style="23" customWidth="1"/>
    <col min="519" max="519" width="49.85546875" style="23" customWidth="1"/>
    <col min="520" max="525" width="9.140625" style="23"/>
    <col min="526" max="530" width="0" style="23" hidden="1" customWidth="1"/>
    <col min="531" max="768" width="9.140625" style="23"/>
    <col min="769" max="769" width="10.28515625" style="23" customWidth="1"/>
    <col min="770" max="770" width="53.85546875" style="23" customWidth="1"/>
    <col min="771" max="771" width="11.5703125" style="23" customWidth="1"/>
    <col min="772" max="772" width="11.42578125" style="23" customWidth="1"/>
    <col min="773" max="773" width="10.85546875" style="23" customWidth="1"/>
    <col min="774" max="774" width="10.28515625" style="23" customWidth="1"/>
    <col min="775" max="775" width="49.85546875" style="23" customWidth="1"/>
    <col min="776" max="781" width="9.140625" style="23"/>
    <col min="782" max="786" width="0" style="23" hidden="1" customWidth="1"/>
    <col min="787" max="1024" width="9.140625" style="23"/>
    <col min="1025" max="1025" width="10.28515625" style="23" customWidth="1"/>
    <col min="1026" max="1026" width="53.85546875" style="23" customWidth="1"/>
    <col min="1027" max="1027" width="11.5703125" style="23" customWidth="1"/>
    <col min="1028" max="1028" width="11.42578125" style="23" customWidth="1"/>
    <col min="1029" max="1029" width="10.85546875" style="23" customWidth="1"/>
    <col min="1030" max="1030" width="10.28515625" style="23" customWidth="1"/>
    <col min="1031" max="1031" width="49.85546875" style="23" customWidth="1"/>
    <col min="1032" max="1037" width="9.140625" style="23"/>
    <col min="1038" max="1042" width="0" style="23" hidden="1" customWidth="1"/>
    <col min="1043" max="1280" width="9.140625" style="23"/>
    <col min="1281" max="1281" width="10.28515625" style="23" customWidth="1"/>
    <col min="1282" max="1282" width="53.85546875" style="23" customWidth="1"/>
    <col min="1283" max="1283" width="11.5703125" style="23" customWidth="1"/>
    <col min="1284" max="1284" width="11.42578125" style="23" customWidth="1"/>
    <col min="1285" max="1285" width="10.85546875" style="23" customWidth="1"/>
    <col min="1286" max="1286" width="10.28515625" style="23" customWidth="1"/>
    <col min="1287" max="1287" width="49.85546875" style="23" customWidth="1"/>
    <col min="1288" max="1293" width="9.140625" style="23"/>
    <col min="1294" max="1298" width="0" style="23" hidden="1" customWidth="1"/>
    <col min="1299" max="1536" width="9.140625" style="23"/>
    <col min="1537" max="1537" width="10.28515625" style="23" customWidth="1"/>
    <col min="1538" max="1538" width="53.85546875" style="23" customWidth="1"/>
    <col min="1539" max="1539" width="11.5703125" style="23" customWidth="1"/>
    <col min="1540" max="1540" width="11.42578125" style="23" customWidth="1"/>
    <col min="1541" max="1541" width="10.85546875" style="23" customWidth="1"/>
    <col min="1542" max="1542" width="10.28515625" style="23" customWidth="1"/>
    <col min="1543" max="1543" width="49.85546875" style="23" customWidth="1"/>
    <col min="1544" max="1549" width="9.140625" style="23"/>
    <col min="1550" max="1554" width="0" style="23" hidden="1" customWidth="1"/>
    <col min="1555" max="1792" width="9.140625" style="23"/>
    <col min="1793" max="1793" width="10.28515625" style="23" customWidth="1"/>
    <col min="1794" max="1794" width="53.85546875" style="23" customWidth="1"/>
    <col min="1795" max="1795" width="11.5703125" style="23" customWidth="1"/>
    <col min="1796" max="1796" width="11.42578125" style="23" customWidth="1"/>
    <col min="1797" max="1797" width="10.85546875" style="23" customWidth="1"/>
    <col min="1798" max="1798" width="10.28515625" style="23" customWidth="1"/>
    <col min="1799" max="1799" width="49.85546875" style="23" customWidth="1"/>
    <col min="1800" max="1805" width="9.140625" style="23"/>
    <col min="1806" max="1810" width="0" style="23" hidden="1" customWidth="1"/>
    <col min="1811" max="2048" width="9.140625" style="23"/>
    <col min="2049" max="2049" width="10.28515625" style="23" customWidth="1"/>
    <col min="2050" max="2050" width="53.85546875" style="23" customWidth="1"/>
    <col min="2051" max="2051" width="11.5703125" style="23" customWidth="1"/>
    <col min="2052" max="2052" width="11.42578125" style="23" customWidth="1"/>
    <col min="2053" max="2053" width="10.85546875" style="23" customWidth="1"/>
    <col min="2054" max="2054" width="10.28515625" style="23" customWidth="1"/>
    <col min="2055" max="2055" width="49.85546875" style="23" customWidth="1"/>
    <col min="2056" max="2061" width="9.140625" style="23"/>
    <col min="2062" max="2066" width="0" style="23" hidden="1" customWidth="1"/>
    <col min="2067" max="2304" width="9.140625" style="23"/>
    <col min="2305" max="2305" width="10.28515625" style="23" customWidth="1"/>
    <col min="2306" max="2306" width="53.85546875" style="23" customWidth="1"/>
    <col min="2307" max="2307" width="11.5703125" style="23" customWidth="1"/>
    <col min="2308" max="2308" width="11.42578125" style="23" customWidth="1"/>
    <col min="2309" max="2309" width="10.85546875" style="23" customWidth="1"/>
    <col min="2310" max="2310" width="10.28515625" style="23" customWidth="1"/>
    <col min="2311" max="2311" width="49.85546875" style="23" customWidth="1"/>
    <col min="2312" max="2317" width="9.140625" style="23"/>
    <col min="2318" max="2322" width="0" style="23" hidden="1" customWidth="1"/>
    <col min="2323" max="2560" width="9.140625" style="23"/>
    <col min="2561" max="2561" width="10.28515625" style="23" customWidth="1"/>
    <col min="2562" max="2562" width="53.85546875" style="23" customWidth="1"/>
    <col min="2563" max="2563" width="11.5703125" style="23" customWidth="1"/>
    <col min="2564" max="2564" width="11.42578125" style="23" customWidth="1"/>
    <col min="2565" max="2565" width="10.85546875" style="23" customWidth="1"/>
    <col min="2566" max="2566" width="10.28515625" style="23" customWidth="1"/>
    <col min="2567" max="2567" width="49.85546875" style="23" customWidth="1"/>
    <col min="2568" max="2573" width="9.140625" style="23"/>
    <col min="2574" max="2578" width="0" style="23" hidden="1" customWidth="1"/>
    <col min="2579" max="2816" width="9.140625" style="23"/>
    <col min="2817" max="2817" width="10.28515625" style="23" customWidth="1"/>
    <col min="2818" max="2818" width="53.85546875" style="23" customWidth="1"/>
    <col min="2819" max="2819" width="11.5703125" style="23" customWidth="1"/>
    <col min="2820" max="2820" width="11.42578125" style="23" customWidth="1"/>
    <col min="2821" max="2821" width="10.85546875" style="23" customWidth="1"/>
    <col min="2822" max="2822" width="10.28515625" style="23" customWidth="1"/>
    <col min="2823" max="2823" width="49.85546875" style="23" customWidth="1"/>
    <col min="2824" max="2829" width="9.140625" style="23"/>
    <col min="2830" max="2834" width="0" style="23" hidden="1" customWidth="1"/>
    <col min="2835" max="3072" width="9.140625" style="23"/>
    <col min="3073" max="3073" width="10.28515625" style="23" customWidth="1"/>
    <col min="3074" max="3074" width="53.85546875" style="23" customWidth="1"/>
    <col min="3075" max="3075" width="11.5703125" style="23" customWidth="1"/>
    <col min="3076" max="3076" width="11.42578125" style="23" customWidth="1"/>
    <col min="3077" max="3077" width="10.85546875" style="23" customWidth="1"/>
    <col min="3078" max="3078" width="10.28515625" style="23" customWidth="1"/>
    <col min="3079" max="3079" width="49.85546875" style="23" customWidth="1"/>
    <col min="3080" max="3085" width="9.140625" style="23"/>
    <col min="3086" max="3090" width="0" style="23" hidden="1" customWidth="1"/>
    <col min="3091" max="3328" width="9.140625" style="23"/>
    <col min="3329" max="3329" width="10.28515625" style="23" customWidth="1"/>
    <col min="3330" max="3330" width="53.85546875" style="23" customWidth="1"/>
    <col min="3331" max="3331" width="11.5703125" style="23" customWidth="1"/>
    <col min="3332" max="3332" width="11.42578125" style="23" customWidth="1"/>
    <col min="3333" max="3333" width="10.85546875" style="23" customWidth="1"/>
    <col min="3334" max="3334" width="10.28515625" style="23" customWidth="1"/>
    <col min="3335" max="3335" width="49.85546875" style="23" customWidth="1"/>
    <col min="3336" max="3341" width="9.140625" style="23"/>
    <col min="3342" max="3346" width="0" style="23" hidden="1" customWidth="1"/>
    <col min="3347" max="3584" width="9.140625" style="23"/>
    <col min="3585" max="3585" width="10.28515625" style="23" customWidth="1"/>
    <col min="3586" max="3586" width="53.85546875" style="23" customWidth="1"/>
    <col min="3587" max="3587" width="11.5703125" style="23" customWidth="1"/>
    <col min="3588" max="3588" width="11.42578125" style="23" customWidth="1"/>
    <col min="3589" max="3589" width="10.85546875" style="23" customWidth="1"/>
    <col min="3590" max="3590" width="10.28515625" style="23" customWidth="1"/>
    <col min="3591" max="3591" width="49.85546875" style="23" customWidth="1"/>
    <col min="3592" max="3597" width="9.140625" style="23"/>
    <col min="3598" max="3602" width="0" style="23" hidden="1" customWidth="1"/>
    <col min="3603" max="3840" width="9.140625" style="23"/>
    <col min="3841" max="3841" width="10.28515625" style="23" customWidth="1"/>
    <col min="3842" max="3842" width="53.85546875" style="23" customWidth="1"/>
    <col min="3843" max="3843" width="11.5703125" style="23" customWidth="1"/>
    <col min="3844" max="3844" width="11.42578125" style="23" customWidth="1"/>
    <col min="3845" max="3845" width="10.85546875" style="23" customWidth="1"/>
    <col min="3846" max="3846" width="10.28515625" style="23" customWidth="1"/>
    <col min="3847" max="3847" width="49.85546875" style="23" customWidth="1"/>
    <col min="3848" max="3853" width="9.140625" style="23"/>
    <col min="3854" max="3858" width="0" style="23" hidden="1" customWidth="1"/>
    <col min="3859" max="4096" width="9.140625" style="23"/>
    <col min="4097" max="4097" width="10.28515625" style="23" customWidth="1"/>
    <col min="4098" max="4098" width="53.85546875" style="23" customWidth="1"/>
    <col min="4099" max="4099" width="11.5703125" style="23" customWidth="1"/>
    <col min="4100" max="4100" width="11.42578125" style="23" customWidth="1"/>
    <col min="4101" max="4101" width="10.85546875" style="23" customWidth="1"/>
    <col min="4102" max="4102" width="10.28515625" style="23" customWidth="1"/>
    <col min="4103" max="4103" width="49.85546875" style="23" customWidth="1"/>
    <col min="4104" max="4109" width="9.140625" style="23"/>
    <col min="4110" max="4114" width="0" style="23" hidden="1" customWidth="1"/>
    <col min="4115" max="4352" width="9.140625" style="23"/>
    <col min="4353" max="4353" width="10.28515625" style="23" customWidth="1"/>
    <col min="4354" max="4354" width="53.85546875" style="23" customWidth="1"/>
    <col min="4355" max="4355" width="11.5703125" style="23" customWidth="1"/>
    <col min="4356" max="4356" width="11.42578125" style="23" customWidth="1"/>
    <col min="4357" max="4357" width="10.85546875" style="23" customWidth="1"/>
    <col min="4358" max="4358" width="10.28515625" style="23" customWidth="1"/>
    <col min="4359" max="4359" width="49.85546875" style="23" customWidth="1"/>
    <col min="4360" max="4365" width="9.140625" style="23"/>
    <col min="4366" max="4370" width="0" style="23" hidden="1" customWidth="1"/>
    <col min="4371" max="4608" width="9.140625" style="23"/>
    <col min="4609" max="4609" width="10.28515625" style="23" customWidth="1"/>
    <col min="4610" max="4610" width="53.85546875" style="23" customWidth="1"/>
    <col min="4611" max="4611" width="11.5703125" style="23" customWidth="1"/>
    <col min="4612" max="4612" width="11.42578125" style="23" customWidth="1"/>
    <col min="4613" max="4613" width="10.85546875" style="23" customWidth="1"/>
    <col min="4614" max="4614" width="10.28515625" style="23" customWidth="1"/>
    <col min="4615" max="4615" width="49.85546875" style="23" customWidth="1"/>
    <col min="4616" max="4621" width="9.140625" style="23"/>
    <col min="4622" max="4626" width="0" style="23" hidden="1" customWidth="1"/>
    <col min="4627" max="4864" width="9.140625" style="23"/>
    <col min="4865" max="4865" width="10.28515625" style="23" customWidth="1"/>
    <col min="4866" max="4866" width="53.85546875" style="23" customWidth="1"/>
    <col min="4867" max="4867" width="11.5703125" style="23" customWidth="1"/>
    <col min="4868" max="4868" width="11.42578125" style="23" customWidth="1"/>
    <col min="4869" max="4869" width="10.85546875" style="23" customWidth="1"/>
    <col min="4870" max="4870" width="10.28515625" style="23" customWidth="1"/>
    <col min="4871" max="4871" width="49.85546875" style="23" customWidth="1"/>
    <col min="4872" max="4877" width="9.140625" style="23"/>
    <col min="4878" max="4882" width="0" style="23" hidden="1" customWidth="1"/>
    <col min="4883" max="5120" width="9.140625" style="23"/>
    <col min="5121" max="5121" width="10.28515625" style="23" customWidth="1"/>
    <col min="5122" max="5122" width="53.85546875" style="23" customWidth="1"/>
    <col min="5123" max="5123" width="11.5703125" style="23" customWidth="1"/>
    <col min="5124" max="5124" width="11.42578125" style="23" customWidth="1"/>
    <col min="5125" max="5125" width="10.85546875" style="23" customWidth="1"/>
    <col min="5126" max="5126" width="10.28515625" style="23" customWidth="1"/>
    <col min="5127" max="5127" width="49.85546875" style="23" customWidth="1"/>
    <col min="5128" max="5133" width="9.140625" style="23"/>
    <col min="5134" max="5138" width="0" style="23" hidden="1" customWidth="1"/>
    <col min="5139" max="5376" width="9.140625" style="23"/>
    <col min="5377" max="5377" width="10.28515625" style="23" customWidth="1"/>
    <col min="5378" max="5378" width="53.85546875" style="23" customWidth="1"/>
    <col min="5379" max="5379" width="11.5703125" style="23" customWidth="1"/>
    <col min="5380" max="5380" width="11.42578125" style="23" customWidth="1"/>
    <col min="5381" max="5381" width="10.85546875" style="23" customWidth="1"/>
    <col min="5382" max="5382" width="10.28515625" style="23" customWidth="1"/>
    <col min="5383" max="5383" width="49.85546875" style="23" customWidth="1"/>
    <col min="5384" max="5389" width="9.140625" style="23"/>
    <col min="5390" max="5394" width="0" style="23" hidden="1" customWidth="1"/>
    <col min="5395" max="5632" width="9.140625" style="23"/>
    <col min="5633" max="5633" width="10.28515625" style="23" customWidth="1"/>
    <col min="5634" max="5634" width="53.85546875" style="23" customWidth="1"/>
    <col min="5635" max="5635" width="11.5703125" style="23" customWidth="1"/>
    <col min="5636" max="5636" width="11.42578125" style="23" customWidth="1"/>
    <col min="5637" max="5637" width="10.85546875" style="23" customWidth="1"/>
    <col min="5638" max="5638" width="10.28515625" style="23" customWidth="1"/>
    <col min="5639" max="5639" width="49.85546875" style="23" customWidth="1"/>
    <col min="5640" max="5645" width="9.140625" style="23"/>
    <col min="5646" max="5650" width="0" style="23" hidden="1" customWidth="1"/>
    <col min="5651" max="5888" width="9.140625" style="23"/>
    <col min="5889" max="5889" width="10.28515625" style="23" customWidth="1"/>
    <col min="5890" max="5890" width="53.85546875" style="23" customWidth="1"/>
    <col min="5891" max="5891" width="11.5703125" style="23" customWidth="1"/>
    <col min="5892" max="5892" width="11.42578125" style="23" customWidth="1"/>
    <col min="5893" max="5893" width="10.85546875" style="23" customWidth="1"/>
    <col min="5894" max="5894" width="10.28515625" style="23" customWidth="1"/>
    <col min="5895" max="5895" width="49.85546875" style="23" customWidth="1"/>
    <col min="5896" max="5901" width="9.140625" style="23"/>
    <col min="5902" max="5906" width="0" style="23" hidden="1" customWidth="1"/>
    <col min="5907" max="6144" width="9.140625" style="23"/>
    <col min="6145" max="6145" width="10.28515625" style="23" customWidth="1"/>
    <col min="6146" max="6146" width="53.85546875" style="23" customWidth="1"/>
    <col min="6147" max="6147" width="11.5703125" style="23" customWidth="1"/>
    <col min="6148" max="6148" width="11.42578125" style="23" customWidth="1"/>
    <col min="6149" max="6149" width="10.85546875" style="23" customWidth="1"/>
    <col min="6150" max="6150" width="10.28515625" style="23" customWidth="1"/>
    <col min="6151" max="6151" width="49.85546875" style="23" customWidth="1"/>
    <col min="6152" max="6157" width="9.140625" style="23"/>
    <col min="6158" max="6162" width="0" style="23" hidden="1" customWidth="1"/>
    <col min="6163" max="6400" width="9.140625" style="23"/>
    <col min="6401" max="6401" width="10.28515625" style="23" customWidth="1"/>
    <col min="6402" max="6402" width="53.85546875" style="23" customWidth="1"/>
    <col min="6403" max="6403" width="11.5703125" style="23" customWidth="1"/>
    <col min="6404" max="6404" width="11.42578125" style="23" customWidth="1"/>
    <col min="6405" max="6405" width="10.85546875" style="23" customWidth="1"/>
    <col min="6406" max="6406" width="10.28515625" style="23" customWidth="1"/>
    <col min="6407" max="6407" width="49.85546875" style="23" customWidth="1"/>
    <col min="6408" max="6413" width="9.140625" style="23"/>
    <col min="6414" max="6418" width="0" style="23" hidden="1" customWidth="1"/>
    <col min="6419" max="6656" width="9.140625" style="23"/>
    <col min="6657" max="6657" width="10.28515625" style="23" customWidth="1"/>
    <col min="6658" max="6658" width="53.85546875" style="23" customWidth="1"/>
    <col min="6659" max="6659" width="11.5703125" style="23" customWidth="1"/>
    <col min="6660" max="6660" width="11.42578125" style="23" customWidth="1"/>
    <col min="6661" max="6661" width="10.85546875" style="23" customWidth="1"/>
    <col min="6662" max="6662" width="10.28515625" style="23" customWidth="1"/>
    <col min="6663" max="6663" width="49.85546875" style="23" customWidth="1"/>
    <col min="6664" max="6669" width="9.140625" style="23"/>
    <col min="6670" max="6674" width="0" style="23" hidden="1" customWidth="1"/>
    <col min="6675" max="6912" width="9.140625" style="23"/>
    <col min="6913" max="6913" width="10.28515625" style="23" customWidth="1"/>
    <col min="6914" max="6914" width="53.85546875" style="23" customWidth="1"/>
    <col min="6915" max="6915" width="11.5703125" style="23" customWidth="1"/>
    <col min="6916" max="6916" width="11.42578125" style="23" customWidth="1"/>
    <col min="6917" max="6917" width="10.85546875" style="23" customWidth="1"/>
    <col min="6918" max="6918" width="10.28515625" style="23" customWidth="1"/>
    <col min="6919" max="6919" width="49.85546875" style="23" customWidth="1"/>
    <col min="6920" max="6925" width="9.140625" style="23"/>
    <col min="6926" max="6930" width="0" style="23" hidden="1" customWidth="1"/>
    <col min="6931" max="7168" width="9.140625" style="23"/>
    <col min="7169" max="7169" width="10.28515625" style="23" customWidth="1"/>
    <col min="7170" max="7170" width="53.85546875" style="23" customWidth="1"/>
    <col min="7171" max="7171" width="11.5703125" style="23" customWidth="1"/>
    <col min="7172" max="7172" width="11.42578125" style="23" customWidth="1"/>
    <col min="7173" max="7173" width="10.85546875" style="23" customWidth="1"/>
    <col min="7174" max="7174" width="10.28515625" style="23" customWidth="1"/>
    <col min="7175" max="7175" width="49.85546875" style="23" customWidth="1"/>
    <col min="7176" max="7181" width="9.140625" style="23"/>
    <col min="7182" max="7186" width="0" style="23" hidden="1" customWidth="1"/>
    <col min="7187" max="7424" width="9.140625" style="23"/>
    <col min="7425" max="7425" width="10.28515625" style="23" customWidth="1"/>
    <col min="7426" max="7426" width="53.85546875" style="23" customWidth="1"/>
    <col min="7427" max="7427" width="11.5703125" style="23" customWidth="1"/>
    <col min="7428" max="7428" width="11.42578125" style="23" customWidth="1"/>
    <col min="7429" max="7429" width="10.85546875" style="23" customWidth="1"/>
    <col min="7430" max="7430" width="10.28515625" style="23" customWidth="1"/>
    <col min="7431" max="7431" width="49.85546875" style="23" customWidth="1"/>
    <col min="7432" max="7437" width="9.140625" style="23"/>
    <col min="7438" max="7442" width="0" style="23" hidden="1" customWidth="1"/>
    <col min="7443" max="7680" width="9.140625" style="23"/>
    <col min="7681" max="7681" width="10.28515625" style="23" customWidth="1"/>
    <col min="7682" max="7682" width="53.85546875" style="23" customWidth="1"/>
    <col min="7683" max="7683" width="11.5703125" style="23" customWidth="1"/>
    <col min="7684" max="7684" width="11.42578125" style="23" customWidth="1"/>
    <col min="7685" max="7685" width="10.85546875" style="23" customWidth="1"/>
    <col min="7686" max="7686" width="10.28515625" style="23" customWidth="1"/>
    <col min="7687" max="7687" width="49.85546875" style="23" customWidth="1"/>
    <col min="7688" max="7693" width="9.140625" style="23"/>
    <col min="7694" max="7698" width="0" style="23" hidden="1" customWidth="1"/>
    <col min="7699" max="7936" width="9.140625" style="23"/>
    <col min="7937" max="7937" width="10.28515625" style="23" customWidth="1"/>
    <col min="7938" max="7938" width="53.85546875" style="23" customWidth="1"/>
    <col min="7939" max="7939" width="11.5703125" style="23" customWidth="1"/>
    <col min="7940" max="7940" width="11.42578125" style="23" customWidth="1"/>
    <col min="7941" max="7941" width="10.85546875" style="23" customWidth="1"/>
    <col min="7942" max="7942" width="10.28515625" style="23" customWidth="1"/>
    <col min="7943" max="7943" width="49.85546875" style="23" customWidth="1"/>
    <col min="7944" max="7949" width="9.140625" style="23"/>
    <col min="7950" max="7954" width="0" style="23" hidden="1" customWidth="1"/>
    <col min="7955" max="8192" width="9.140625" style="23"/>
    <col min="8193" max="8193" width="10.28515625" style="23" customWidth="1"/>
    <col min="8194" max="8194" width="53.85546875" style="23" customWidth="1"/>
    <col min="8195" max="8195" width="11.5703125" style="23" customWidth="1"/>
    <col min="8196" max="8196" width="11.42578125" style="23" customWidth="1"/>
    <col min="8197" max="8197" width="10.85546875" style="23" customWidth="1"/>
    <col min="8198" max="8198" width="10.28515625" style="23" customWidth="1"/>
    <col min="8199" max="8199" width="49.85546875" style="23" customWidth="1"/>
    <col min="8200" max="8205" width="9.140625" style="23"/>
    <col min="8206" max="8210" width="0" style="23" hidden="1" customWidth="1"/>
    <col min="8211" max="8448" width="9.140625" style="23"/>
    <col min="8449" max="8449" width="10.28515625" style="23" customWidth="1"/>
    <col min="8450" max="8450" width="53.85546875" style="23" customWidth="1"/>
    <col min="8451" max="8451" width="11.5703125" style="23" customWidth="1"/>
    <col min="8452" max="8452" width="11.42578125" style="23" customWidth="1"/>
    <col min="8453" max="8453" width="10.85546875" style="23" customWidth="1"/>
    <col min="8454" max="8454" width="10.28515625" style="23" customWidth="1"/>
    <col min="8455" max="8455" width="49.85546875" style="23" customWidth="1"/>
    <col min="8456" max="8461" width="9.140625" style="23"/>
    <col min="8462" max="8466" width="0" style="23" hidden="1" customWidth="1"/>
    <col min="8467" max="8704" width="9.140625" style="23"/>
    <col min="8705" max="8705" width="10.28515625" style="23" customWidth="1"/>
    <col min="8706" max="8706" width="53.85546875" style="23" customWidth="1"/>
    <col min="8707" max="8707" width="11.5703125" style="23" customWidth="1"/>
    <col min="8708" max="8708" width="11.42578125" style="23" customWidth="1"/>
    <col min="8709" max="8709" width="10.85546875" style="23" customWidth="1"/>
    <col min="8710" max="8710" width="10.28515625" style="23" customWidth="1"/>
    <col min="8711" max="8711" width="49.85546875" style="23" customWidth="1"/>
    <col min="8712" max="8717" width="9.140625" style="23"/>
    <col min="8718" max="8722" width="0" style="23" hidden="1" customWidth="1"/>
    <col min="8723" max="8960" width="9.140625" style="23"/>
    <col min="8961" max="8961" width="10.28515625" style="23" customWidth="1"/>
    <col min="8962" max="8962" width="53.85546875" style="23" customWidth="1"/>
    <col min="8963" max="8963" width="11.5703125" style="23" customWidth="1"/>
    <col min="8964" max="8964" width="11.42578125" style="23" customWidth="1"/>
    <col min="8965" max="8965" width="10.85546875" style="23" customWidth="1"/>
    <col min="8966" max="8966" width="10.28515625" style="23" customWidth="1"/>
    <col min="8967" max="8967" width="49.85546875" style="23" customWidth="1"/>
    <col min="8968" max="8973" width="9.140625" style="23"/>
    <col min="8974" max="8978" width="0" style="23" hidden="1" customWidth="1"/>
    <col min="8979" max="9216" width="9.140625" style="23"/>
    <col min="9217" max="9217" width="10.28515625" style="23" customWidth="1"/>
    <col min="9218" max="9218" width="53.85546875" style="23" customWidth="1"/>
    <col min="9219" max="9219" width="11.5703125" style="23" customWidth="1"/>
    <col min="9220" max="9220" width="11.42578125" style="23" customWidth="1"/>
    <col min="9221" max="9221" width="10.85546875" style="23" customWidth="1"/>
    <col min="9222" max="9222" width="10.28515625" style="23" customWidth="1"/>
    <col min="9223" max="9223" width="49.85546875" style="23" customWidth="1"/>
    <col min="9224" max="9229" width="9.140625" style="23"/>
    <col min="9230" max="9234" width="0" style="23" hidden="1" customWidth="1"/>
    <col min="9235" max="9472" width="9.140625" style="23"/>
    <col min="9473" max="9473" width="10.28515625" style="23" customWidth="1"/>
    <col min="9474" max="9474" width="53.85546875" style="23" customWidth="1"/>
    <col min="9475" max="9475" width="11.5703125" style="23" customWidth="1"/>
    <col min="9476" max="9476" width="11.42578125" style="23" customWidth="1"/>
    <col min="9477" max="9477" width="10.85546875" style="23" customWidth="1"/>
    <col min="9478" max="9478" width="10.28515625" style="23" customWidth="1"/>
    <col min="9479" max="9479" width="49.85546875" style="23" customWidth="1"/>
    <col min="9480" max="9485" width="9.140625" style="23"/>
    <col min="9486" max="9490" width="0" style="23" hidden="1" customWidth="1"/>
    <col min="9491" max="9728" width="9.140625" style="23"/>
    <col min="9729" max="9729" width="10.28515625" style="23" customWidth="1"/>
    <col min="9730" max="9730" width="53.85546875" style="23" customWidth="1"/>
    <col min="9731" max="9731" width="11.5703125" style="23" customWidth="1"/>
    <col min="9732" max="9732" width="11.42578125" style="23" customWidth="1"/>
    <col min="9733" max="9733" width="10.85546875" style="23" customWidth="1"/>
    <col min="9734" max="9734" width="10.28515625" style="23" customWidth="1"/>
    <col min="9735" max="9735" width="49.85546875" style="23" customWidth="1"/>
    <col min="9736" max="9741" width="9.140625" style="23"/>
    <col min="9742" max="9746" width="0" style="23" hidden="1" customWidth="1"/>
    <col min="9747" max="9984" width="9.140625" style="23"/>
    <col min="9985" max="9985" width="10.28515625" style="23" customWidth="1"/>
    <col min="9986" max="9986" width="53.85546875" style="23" customWidth="1"/>
    <col min="9987" max="9987" width="11.5703125" style="23" customWidth="1"/>
    <col min="9988" max="9988" width="11.42578125" style="23" customWidth="1"/>
    <col min="9989" max="9989" width="10.85546875" style="23" customWidth="1"/>
    <col min="9990" max="9990" width="10.28515625" style="23" customWidth="1"/>
    <col min="9991" max="9991" width="49.85546875" style="23" customWidth="1"/>
    <col min="9992" max="9997" width="9.140625" style="23"/>
    <col min="9998" max="10002" width="0" style="23" hidden="1" customWidth="1"/>
    <col min="10003" max="10240" width="9.140625" style="23"/>
    <col min="10241" max="10241" width="10.28515625" style="23" customWidth="1"/>
    <col min="10242" max="10242" width="53.85546875" style="23" customWidth="1"/>
    <col min="10243" max="10243" width="11.5703125" style="23" customWidth="1"/>
    <col min="10244" max="10244" width="11.42578125" style="23" customWidth="1"/>
    <col min="10245" max="10245" width="10.85546875" style="23" customWidth="1"/>
    <col min="10246" max="10246" width="10.28515625" style="23" customWidth="1"/>
    <col min="10247" max="10247" width="49.85546875" style="23" customWidth="1"/>
    <col min="10248" max="10253" width="9.140625" style="23"/>
    <col min="10254" max="10258" width="0" style="23" hidden="1" customWidth="1"/>
    <col min="10259" max="10496" width="9.140625" style="23"/>
    <col min="10497" max="10497" width="10.28515625" style="23" customWidth="1"/>
    <col min="10498" max="10498" width="53.85546875" style="23" customWidth="1"/>
    <col min="10499" max="10499" width="11.5703125" style="23" customWidth="1"/>
    <col min="10500" max="10500" width="11.42578125" style="23" customWidth="1"/>
    <col min="10501" max="10501" width="10.85546875" style="23" customWidth="1"/>
    <col min="10502" max="10502" width="10.28515625" style="23" customWidth="1"/>
    <col min="10503" max="10503" width="49.85546875" style="23" customWidth="1"/>
    <col min="10504" max="10509" width="9.140625" style="23"/>
    <col min="10510" max="10514" width="0" style="23" hidden="1" customWidth="1"/>
    <col min="10515" max="10752" width="9.140625" style="23"/>
    <col min="10753" max="10753" width="10.28515625" style="23" customWidth="1"/>
    <col min="10754" max="10754" width="53.85546875" style="23" customWidth="1"/>
    <col min="10755" max="10755" width="11.5703125" style="23" customWidth="1"/>
    <col min="10756" max="10756" width="11.42578125" style="23" customWidth="1"/>
    <col min="10757" max="10757" width="10.85546875" style="23" customWidth="1"/>
    <col min="10758" max="10758" width="10.28515625" style="23" customWidth="1"/>
    <col min="10759" max="10759" width="49.85546875" style="23" customWidth="1"/>
    <col min="10760" max="10765" width="9.140625" style="23"/>
    <col min="10766" max="10770" width="0" style="23" hidden="1" customWidth="1"/>
    <col min="10771" max="11008" width="9.140625" style="23"/>
    <col min="11009" max="11009" width="10.28515625" style="23" customWidth="1"/>
    <col min="11010" max="11010" width="53.85546875" style="23" customWidth="1"/>
    <col min="11011" max="11011" width="11.5703125" style="23" customWidth="1"/>
    <col min="11012" max="11012" width="11.42578125" style="23" customWidth="1"/>
    <col min="11013" max="11013" width="10.85546875" style="23" customWidth="1"/>
    <col min="11014" max="11014" width="10.28515625" style="23" customWidth="1"/>
    <col min="11015" max="11015" width="49.85546875" style="23" customWidth="1"/>
    <col min="11016" max="11021" width="9.140625" style="23"/>
    <col min="11022" max="11026" width="0" style="23" hidden="1" customWidth="1"/>
    <col min="11027" max="11264" width="9.140625" style="23"/>
    <col min="11265" max="11265" width="10.28515625" style="23" customWidth="1"/>
    <col min="11266" max="11266" width="53.85546875" style="23" customWidth="1"/>
    <col min="11267" max="11267" width="11.5703125" style="23" customWidth="1"/>
    <col min="11268" max="11268" width="11.42578125" style="23" customWidth="1"/>
    <col min="11269" max="11269" width="10.85546875" style="23" customWidth="1"/>
    <col min="11270" max="11270" width="10.28515625" style="23" customWidth="1"/>
    <col min="11271" max="11271" width="49.85546875" style="23" customWidth="1"/>
    <col min="11272" max="11277" width="9.140625" style="23"/>
    <col min="11278" max="11282" width="0" style="23" hidden="1" customWidth="1"/>
    <col min="11283" max="11520" width="9.140625" style="23"/>
    <col min="11521" max="11521" width="10.28515625" style="23" customWidth="1"/>
    <col min="11522" max="11522" width="53.85546875" style="23" customWidth="1"/>
    <col min="11523" max="11523" width="11.5703125" style="23" customWidth="1"/>
    <col min="11524" max="11524" width="11.42578125" style="23" customWidth="1"/>
    <col min="11525" max="11525" width="10.85546875" style="23" customWidth="1"/>
    <col min="11526" max="11526" width="10.28515625" style="23" customWidth="1"/>
    <col min="11527" max="11527" width="49.85546875" style="23" customWidth="1"/>
    <col min="11528" max="11533" width="9.140625" style="23"/>
    <col min="11534" max="11538" width="0" style="23" hidden="1" customWidth="1"/>
    <col min="11539" max="11776" width="9.140625" style="23"/>
    <col min="11777" max="11777" width="10.28515625" style="23" customWidth="1"/>
    <col min="11778" max="11778" width="53.85546875" style="23" customWidth="1"/>
    <col min="11779" max="11779" width="11.5703125" style="23" customWidth="1"/>
    <col min="11780" max="11780" width="11.42578125" style="23" customWidth="1"/>
    <col min="11781" max="11781" width="10.85546875" style="23" customWidth="1"/>
    <col min="11782" max="11782" width="10.28515625" style="23" customWidth="1"/>
    <col min="11783" max="11783" width="49.85546875" style="23" customWidth="1"/>
    <col min="11784" max="11789" width="9.140625" style="23"/>
    <col min="11790" max="11794" width="0" style="23" hidden="1" customWidth="1"/>
    <col min="11795" max="12032" width="9.140625" style="23"/>
    <col min="12033" max="12033" width="10.28515625" style="23" customWidth="1"/>
    <col min="12034" max="12034" width="53.85546875" style="23" customWidth="1"/>
    <col min="12035" max="12035" width="11.5703125" style="23" customWidth="1"/>
    <col min="12036" max="12036" width="11.42578125" style="23" customWidth="1"/>
    <col min="12037" max="12037" width="10.85546875" style="23" customWidth="1"/>
    <col min="12038" max="12038" width="10.28515625" style="23" customWidth="1"/>
    <col min="12039" max="12039" width="49.85546875" style="23" customWidth="1"/>
    <col min="12040" max="12045" width="9.140625" style="23"/>
    <col min="12046" max="12050" width="0" style="23" hidden="1" customWidth="1"/>
    <col min="12051" max="12288" width="9.140625" style="23"/>
    <col min="12289" max="12289" width="10.28515625" style="23" customWidth="1"/>
    <col min="12290" max="12290" width="53.85546875" style="23" customWidth="1"/>
    <col min="12291" max="12291" width="11.5703125" style="23" customWidth="1"/>
    <col min="12292" max="12292" width="11.42578125" style="23" customWidth="1"/>
    <col min="12293" max="12293" width="10.85546875" style="23" customWidth="1"/>
    <col min="12294" max="12294" width="10.28515625" style="23" customWidth="1"/>
    <col min="12295" max="12295" width="49.85546875" style="23" customWidth="1"/>
    <col min="12296" max="12301" width="9.140625" style="23"/>
    <col min="12302" max="12306" width="0" style="23" hidden="1" customWidth="1"/>
    <col min="12307" max="12544" width="9.140625" style="23"/>
    <col min="12545" max="12545" width="10.28515625" style="23" customWidth="1"/>
    <col min="12546" max="12546" width="53.85546875" style="23" customWidth="1"/>
    <col min="12547" max="12547" width="11.5703125" style="23" customWidth="1"/>
    <col min="12548" max="12548" width="11.42578125" style="23" customWidth="1"/>
    <col min="12549" max="12549" width="10.85546875" style="23" customWidth="1"/>
    <col min="12550" max="12550" width="10.28515625" style="23" customWidth="1"/>
    <col min="12551" max="12551" width="49.85546875" style="23" customWidth="1"/>
    <col min="12552" max="12557" width="9.140625" style="23"/>
    <col min="12558" max="12562" width="0" style="23" hidden="1" customWidth="1"/>
    <col min="12563" max="12800" width="9.140625" style="23"/>
    <col min="12801" max="12801" width="10.28515625" style="23" customWidth="1"/>
    <col min="12802" max="12802" width="53.85546875" style="23" customWidth="1"/>
    <col min="12803" max="12803" width="11.5703125" style="23" customWidth="1"/>
    <col min="12804" max="12804" width="11.42578125" style="23" customWidth="1"/>
    <col min="12805" max="12805" width="10.85546875" style="23" customWidth="1"/>
    <col min="12806" max="12806" width="10.28515625" style="23" customWidth="1"/>
    <col min="12807" max="12807" width="49.85546875" style="23" customWidth="1"/>
    <col min="12808" max="12813" width="9.140625" style="23"/>
    <col min="12814" max="12818" width="0" style="23" hidden="1" customWidth="1"/>
    <col min="12819" max="13056" width="9.140625" style="23"/>
    <col min="13057" max="13057" width="10.28515625" style="23" customWidth="1"/>
    <col min="13058" max="13058" width="53.85546875" style="23" customWidth="1"/>
    <col min="13059" max="13059" width="11.5703125" style="23" customWidth="1"/>
    <col min="13060" max="13060" width="11.42578125" style="23" customWidth="1"/>
    <col min="13061" max="13061" width="10.85546875" style="23" customWidth="1"/>
    <col min="13062" max="13062" width="10.28515625" style="23" customWidth="1"/>
    <col min="13063" max="13063" width="49.85546875" style="23" customWidth="1"/>
    <col min="13064" max="13069" width="9.140625" style="23"/>
    <col min="13070" max="13074" width="0" style="23" hidden="1" customWidth="1"/>
    <col min="13075" max="13312" width="9.140625" style="23"/>
    <col min="13313" max="13313" width="10.28515625" style="23" customWidth="1"/>
    <col min="13314" max="13314" width="53.85546875" style="23" customWidth="1"/>
    <col min="13315" max="13315" width="11.5703125" style="23" customWidth="1"/>
    <col min="13316" max="13316" width="11.42578125" style="23" customWidth="1"/>
    <col min="13317" max="13317" width="10.85546875" style="23" customWidth="1"/>
    <col min="13318" max="13318" width="10.28515625" style="23" customWidth="1"/>
    <col min="13319" max="13319" width="49.85546875" style="23" customWidth="1"/>
    <col min="13320" max="13325" width="9.140625" style="23"/>
    <col min="13326" max="13330" width="0" style="23" hidden="1" customWidth="1"/>
    <col min="13331" max="13568" width="9.140625" style="23"/>
    <col min="13569" max="13569" width="10.28515625" style="23" customWidth="1"/>
    <col min="13570" max="13570" width="53.85546875" style="23" customWidth="1"/>
    <col min="13571" max="13571" width="11.5703125" style="23" customWidth="1"/>
    <col min="13572" max="13572" width="11.42578125" style="23" customWidth="1"/>
    <col min="13573" max="13573" width="10.85546875" style="23" customWidth="1"/>
    <col min="13574" max="13574" width="10.28515625" style="23" customWidth="1"/>
    <col min="13575" max="13575" width="49.85546875" style="23" customWidth="1"/>
    <col min="13576" max="13581" width="9.140625" style="23"/>
    <col min="13582" max="13586" width="0" style="23" hidden="1" customWidth="1"/>
    <col min="13587" max="13824" width="9.140625" style="23"/>
    <col min="13825" max="13825" width="10.28515625" style="23" customWidth="1"/>
    <col min="13826" max="13826" width="53.85546875" style="23" customWidth="1"/>
    <col min="13827" max="13827" width="11.5703125" style="23" customWidth="1"/>
    <col min="13828" max="13828" width="11.42578125" style="23" customWidth="1"/>
    <col min="13829" max="13829" width="10.85546875" style="23" customWidth="1"/>
    <col min="13830" max="13830" width="10.28515625" style="23" customWidth="1"/>
    <col min="13831" max="13831" width="49.85546875" style="23" customWidth="1"/>
    <col min="13832" max="13837" width="9.140625" style="23"/>
    <col min="13838" max="13842" width="0" style="23" hidden="1" customWidth="1"/>
    <col min="13843" max="14080" width="9.140625" style="23"/>
    <col min="14081" max="14081" width="10.28515625" style="23" customWidth="1"/>
    <col min="14082" max="14082" width="53.85546875" style="23" customWidth="1"/>
    <col min="14083" max="14083" width="11.5703125" style="23" customWidth="1"/>
    <col min="14084" max="14084" width="11.42578125" style="23" customWidth="1"/>
    <col min="14085" max="14085" width="10.85546875" style="23" customWidth="1"/>
    <col min="14086" max="14086" width="10.28515625" style="23" customWidth="1"/>
    <col min="14087" max="14087" width="49.85546875" style="23" customWidth="1"/>
    <col min="14088" max="14093" width="9.140625" style="23"/>
    <col min="14094" max="14098" width="0" style="23" hidden="1" customWidth="1"/>
    <col min="14099" max="14336" width="9.140625" style="23"/>
    <col min="14337" max="14337" width="10.28515625" style="23" customWidth="1"/>
    <col min="14338" max="14338" width="53.85546875" style="23" customWidth="1"/>
    <col min="14339" max="14339" width="11.5703125" style="23" customWidth="1"/>
    <col min="14340" max="14340" width="11.42578125" style="23" customWidth="1"/>
    <col min="14341" max="14341" width="10.85546875" style="23" customWidth="1"/>
    <col min="14342" max="14342" width="10.28515625" style="23" customWidth="1"/>
    <col min="14343" max="14343" width="49.85546875" style="23" customWidth="1"/>
    <col min="14344" max="14349" width="9.140625" style="23"/>
    <col min="14350" max="14354" width="0" style="23" hidden="1" customWidth="1"/>
    <col min="14355" max="14592" width="9.140625" style="23"/>
    <col min="14593" max="14593" width="10.28515625" style="23" customWidth="1"/>
    <col min="14594" max="14594" width="53.85546875" style="23" customWidth="1"/>
    <col min="14595" max="14595" width="11.5703125" style="23" customWidth="1"/>
    <col min="14596" max="14596" width="11.42578125" style="23" customWidth="1"/>
    <col min="14597" max="14597" width="10.85546875" style="23" customWidth="1"/>
    <col min="14598" max="14598" width="10.28515625" style="23" customWidth="1"/>
    <col min="14599" max="14599" width="49.85546875" style="23" customWidth="1"/>
    <col min="14600" max="14605" width="9.140625" style="23"/>
    <col min="14606" max="14610" width="0" style="23" hidden="1" customWidth="1"/>
    <col min="14611" max="14848" width="9.140625" style="23"/>
    <col min="14849" max="14849" width="10.28515625" style="23" customWidth="1"/>
    <col min="14850" max="14850" width="53.85546875" style="23" customWidth="1"/>
    <col min="14851" max="14851" width="11.5703125" style="23" customWidth="1"/>
    <col min="14852" max="14852" width="11.42578125" style="23" customWidth="1"/>
    <col min="14853" max="14853" width="10.85546875" style="23" customWidth="1"/>
    <col min="14854" max="14854" width="10.28515625" style="23" customWidth="1"/>
    <col min="14855" max="14855" width="49.85546875" style="23" customWidth="1"/>
    <col min="14856" max="14861" width="9.140625" style="23"/>
    <col min="14862" max="14866" width="0" style="23" hidden="1" customWidth="1"/>
    <col min="14867" max="15104" width="9.140625" style="23"/>
    <col min="15105" max="15105" width="10.28515625" style="23" customWidth="1"/>
    <col min="15106" max="15106" width="53.85546875" style="23" customWidth="1"/>
    <col min="15107" max="15107" width="11.5703125" style="23" customWidth="1"/>
    <col min="15108" max="15108" width="11.42578125" style="23" customWidth="1"/>
    <col min="15109" max="15109" width="10.85546875" style="23" customWidth="1"/>
    <col min="15110" max="15110" width="10.28515625" style="23" customWidth="1"/>
    <col min="15111" max="15111" width="49.85546875" style="23" customWidth="1"/>
    <col min="15112" max="15117" width="9.140625" style="23"/>
    <col min="15118" max="15122" width="0" style="23" hidden="1" customWidth="1"/>
    <col min="15123" max="15360" width="9.140625" style="23"/>
    <col min="15361" max="15361" width="10.28515625" style="23" customWidth="1"/>
    <col min="15362" max="15362" width="53.85546875" style="23" customWidth="1"/>
    <col min="15363" max="15363" width="11.5703125" style="23" customWidth="1"/>
    <col min="15364" max="15364" width="11.42578125" style="23" customWidth="1"/>
    <col min="15365" max="15365" width="10.85546875" style="23" customWidth="1"/>
    <col min="15366" max="15366" width="10.28515625" style="23" customWidth="1"/>
    <col min="15367" max="15367" width="49.85546875" style="23" customWidth="1"/>
    <col min="15368" max="15373" width="9.140625" style="23"/>
    <col min="15374" max="15378" width="0" style="23" hidden="1" customWidth="1"/>
    <col min="15379" max="15616" width="9.140625" style="23"/>
    <col min="15617" max="15617" width="10.28515625" style="23" customWidth="1"/>
    <col min="15618" max="15618" width="53.85546875" style="23" customWidth="1"/>
    <col min="15619" max="15619" width="11.5703125" style="23" customWidth="1"/>
    <col min="15620" max="15620" width="11.42578125" style="23" customWidth="1"/>
    <col min="15621" max="15621" width="10.85546875" style="23" customWidth="1"/>
    <col min="15622" max="15622" width="10.28515625" style="23" customWidth="1"/>
    <col min="15623" max="15623" width="49.85546875" style="23" customWidth="1"/>
    <col min="15624" max="15629" width="9.140625" style="23"/>
    <col min="15630" max="15634" width="0" style="23" hidden="1" customWidth="1"/>
    <col min="15635" max="15872" width="9.140625" style="23"/>
    <col min="15873" max="15873" width="10.28515625" style="23" customWidth="1"/>
    <col min="15874" max="15874" width="53.85546875" style="23" customWidth="1"/>
    <col min="15875" max="15875" width="11.5703125" style="23" customWidth="1"/>
    <col min="15876" max="15876" width="11.42578125" style="23" customWidth="1"/>
    <col min="15877" max="15877" width="10.85546875" style="23" customWidth="1"/>
    <col min="15878" max="15878" width="10.28515625" style="23" customWidth="1"/>
    <col min="15879" max="15879" width="49.85546875" style="23" customWidth="1"/>
    <col min="15880" max="15885" width="9.140625" style="23"/>
    <col min="15886" max="15890" width="0" style="23" hidden="1" customWidth="1"/>
    <col min="15891" max="16128" width="9.140625" style="23"/>
    <col min="16129" max="16129" width="10.28515625" style="23" customWidth="1"/>
    <col min="16130" max="16130" width="53.85546875" style="23" customWidth="1"/>
    <col min="16131" max="16131" width="11.5703125" style="23" customWidth="1"/>
    <col min="16132" max="16132" width="11.42578125" style="23" customWidth="1"/>
    <col min="16133" max="16133" width="10.85546875" style="23" customWidth="1"/>
    <col min="16134" max="16134" width="10.28515625" style="23" customWidth="1"/>
    <col min="16135" max="16135" width="49.85546875" style="23" customWidth="1"/>
    <col min="16136" max="16141" width="9.140625" style="23"/>
    <col min="16142" max="16146" width="0" style="23" hidden="1" customWidth="1"/>
    <col min="16147" max="16384" width="9.140625" style="23"/>
  </cols>
  <sheetData>
    <row r="1" spans="1:16" ht="40.5" customHeight="1" x14ac:dyDescent="0.25">
      <c r="A1" s="319" t="s">
        <v>1313</v>
      </c>
      <c r="B1" s="319"/>
      <c r="C1" s="319"/>
      <c r="D1" s="319"/>
      <c r="E1" s="319"/>
      <c r="F1" s="319"/>
      <c r="G1" s="319"/>
      <c r="H1" s="319"/>
      <c r="I1" s="319"/>
      <c r="J1" s="319"/>
      <c r="K1" s="319"/>
      <c r="L1" s="319"/>
      <c r="M1" s="319"/>
      <c r="N1" s="319"/>
      <c r="O1" s="135"/>
      <c r="P1" s="135"/>
    </row>
    <row r="2" spans="1:16" x14ac:dyDescent="0.25">
      <c r="A2" s="24"/>
      <c r="B2" s="24"/>
      <c r="C2" s="320"/>
      <c r="D2" s="320"/>
      <c r="E2" s="320"/>
      <c r="F2" s="136"/>
      <c r="G2" s="324" t="s">
        <v>962</v>
      </c>
      <c r="H2" s="324"/>
      <c r="I2" s="324"/>
      <c r="J2" s="324"/>
      <c r="K2" s="137"/>
      <c r="L2" s="137"/>
      <c r="M2" s="137"/>
      <c r="N2" s="137"/>
      <c r="O2" s="135"/>
      <c r="P2" s="135"/>
    </row>
    <row r="3" spans="1:16" s="26" customFormat="1" x14ac:dyDescent="0.25">
      <c r="A3" s="321" t="s">
        <v>0</v>
      </c>
      <c r="B3" s="321" t="s">
        <v>1</v>
      </c>
      <c r="C3" s="314" t="s">
        <v>2</v>
      </c>
      <c r="D3" s="315"/>
      <c r="E3" s="315"/>
      <c r="F3" s="321" t="s">
        <v>0</v>
      </c>
      <c r="G3" s="321" t="s">
        <v>1</v>
      </c>
      <c r="H3" s="314" t="s">
        <v>1135</v>
      </c>
      <c r="I3" s="315"/>
      <c r="J3" s="323"/>
      <c r="K3" s="322" t="s">
        <v>994</v>
      </c>
      <c r="L3" s="322"/>
      <c r="M3" s="322"/>
      <c r="N3" s="310" t="s">
        <v>995</v>
      </c>
      <c r="O3" s="312" t="s">
        <v>86</v>
      </c>
      <c r="P3" s="140"/>
    </row>
    <row r="4" spans="1:16" x14ac:dyDescent="0.25">
      <c r="A4" s="322"/>
      <c r="B4" s="321"/>
      <c r="C4" s="138" t="s">
        <v>6</v>
      </c>
      <c r="D4" s="138" t="s">
        <v>3</v>
      </c>
      <c r="E4" s="138" t="s">
        <v>7</v>
      </c>
      <c r="F4" s="322"/>
      <c r="G4" s="321"/>
      <c r="H4" s="138" t="s">
        <v>6</v>
      </c>
      <c r="I4" s="138" t="s">
        <v>3</v>
      </c>
      <c r="J4" s="138" t="s">
        <v>7</v>
      </c>
      <c r="K4" s="138" t="s">
        <v>6</v>
      </c>
      <c r="L4" s="138" t="s">
        <v>3</v>
      </c>
      <c r="M4" s="138" t="s">
        <v>7</v>
      </c>
      <c r="N4" s="311"/>
      <c r="O4" s="313"/>
      <c r="P4" s="135"/>
    </row>
    <row r="5" spans="1:16" ht="78.599999999999994" hidden="1" customHeight="1" x14ac:dyDescent="0.25">
      <c r="A5" s="314" t="s">
        <v>459</v>
      </c>
      <c r="B5" s="315"/>
      <c r="C5" s="315"/>
      <c r="D5" s="315"/>
      <c r="E5" s="315"/>
      <c r="F5" s="316" t="s">
        <v>996</v>
      </c>
      <c r="G5" s="317"/>
      <c r="H5" s="317"/>
      <c r="I5" s="317"/>
      <c r="J5" s="318"/>
      <c r="K5" s="141"/>
      <c r="L5" s="141"/>
      <c r="M5" s="141"/>
      <c r="N5" s="138"/>
      <c r="O5" s="142"/>
      <c r="P5" s="135"/>
    </row>
    <row r="6" spans="1:16" s="26" customFormat="1" x14ac:dyDescent="0.25">
      <c r="A6" s="139">
        <v>1</v>
      </c>
      <c r="B6" s="143" t="s">
        <v>460</v>
      </c>
      <c r="C6" s="139"/>
      <c r="D6" s="139"/>
      <c r="E6" s="139"/>
      <c r="F6" s="139">
        <v>1</v>
      </c>
      <c r="G6" s="143" t="s">
        <v>460</v>
      </c>
      <c r="H6" s="139"/>
      <c r="I6" s="139"/>
      <c r="J6" s="139"/>
      <c r="K6" s="139"/>
      <c r="L6" s="139"/>
      <c r="M6" s="139"/>
      <c r="N6" s="139"/>
      <c r="O6" s="144"/>
      <c r="P6" s="140"/>
    </row>
    <row r="7" spans="1:16" ht="39.75" customHeight="1" x14ac:dyDescent="0.25">
      <c r="A7" s="145" t="s">
        <v>12</v>
      </c>
      <c r="B7" s="146" t="s">
        <v>461</v>
      </c>
      <c r="C7" s="147">
        <v>470</v>
      </c>
      <c r="D7" s="147">
        <v>235</v>
      </c>
      <c r="E7" s="147">
        <v>141</v>
      </c>
      <c r="F7" s="145" t="s">
        <v>12</v>
      </c>
      <c r="G7" s="146" t="s">
        <v>461</v>
      </c>
      <c r="H7" s="266">
        <f>470*1.1</f>
        <v>517</v>
      </c>
      <c r="I7" s="266">
        <f>235*1.1</f>
        <v>258.5</v>
      </c>
      <c r="J7" s="266">
        <f>141*1.1</f>
        <v>155.10000000000002</v>
      </c>
      <c r="K7" s="148">
        <f>(H7/C7)*100-100</f>
        <v>10.000000000000014</v>
      </c>
      <c r="L7" s="148">
        <f>(I7/D7)*100-100</f>
        <v>10.000000000000014</v>
      </c>
      <c r="M7" s="148">
        <f>(J7/E7)*100-100</f>
        <v>10.000000000000014</v>
      </c>
      <c r="N7" s="148"/>
      <c r="O7" s="148" t="s">
        <v>112</v>
      </c>
      <c r="P7" s="135"/>
    </row>
    <row r="8" spans="1:16" ht="67.5" customHeight="1" x14ac:dyDescent="0.25">
      <c r="A8" s="145" t="s">
        <v>14</v>
      </c>
      <c r="B8" s="146" t="s">
        <v>462</v>
      </c>
      <c r="C8" s="147">
        <v>410</v>
      </c>
      <c r="D8" s="147">
        <v>205</v>
      </c>
      <c r="E8" s="147">
        <v>123</v>
      </c>
      <c r="F8" s="145" t="s">
        <v>14</v>
      </c>
      <c r="G8" s="146" t="s">
        <v>463</v>
      </c>
      <c r="H8" s="266">
        <f>410*1.1</f>
        <v>451.00000000000006</v>
      </c>
      <c r="I8" s="266">
        <f>205*1.1</f>
        <v>225.50000000000003</v>
      </c>
      <c r="J8" s="266">
        <f>123*1.1</f>
        <v>135.30000000000001</v>
      </c>
      <c r="K8" s="148">
        <f t="shared" ref="K8:M71" si="0">(H8/C8)*100-100</f>
        <v>10.000000000000014</v>
      </c>
      <c r="L8" s="148">
        <f t="shared" si="0"/>
        <v>10.000000000000014</v>
      </c>
      <c r="M8" s="148">
        <f t="shared" si="0"/>
        <v>10.000000000000014</v>
      </c>
      <c r="N8" s="145" t="s">
        <v>464</v>
      </c>
      <c r="O8" s="148" t="s">
        <v>112</v>
      </c>
      <c r="P8" s="135"/>
    </row>
    <row r="9" spans="1:16" ht="56.25" customHeight="1" x14ac:dyDescent="0.25">
      <c r="A9" s="145" t="s">
        <v>99</v>
      </c>
      <c r="B9" s="146" t="s">
        <v>465</v>
      </c>
      <c r="C9" s="147">
        <v>370</v>
      </c>
      <c r="D9" s="147">
        <v>185</v>
      </c>
      <c r="E9" s="147">
        <v>111</v>
      </c>
      <c r="F9" s="145" t="s">
        <v>99</v>
      </c>
      <c r="G9" s="146" t="s">
        <v>465</v>
      </c>
      <c r="H9" s="266">
        <f>370*1.1</f>
        <v>407.00000000000006</v>
      </c>
      <c r="I9" s="266">
        <f>185*1.1</f>
        <v>203.50000000000003</v>
      </c>
      <c r="J9" s="266">
        <f>111*1.1</f>
        <v>122.10000000000001</v>
      </c>
      <c r="K9" s="148">
        <f t="shared" si="0"/>
        <v>10.000000000000014</v>
      </c>
      <c r="L9" s="148">
        <f t="shared" si="0"/>
        <v>10.000000000000014</v>
      </c>
      <c r="M9" s="148">
        <f t="shared" si="0"/>
        <v>10.000000000000014</v>
      </c>
      <c r="N9" s="148"/>
      <c r="O9" s="148" t="s">
        <v>112</v>
      </c>
      <c r="P9" s="135"/>
    </row>
    <row r="10" spans="1:16" ht="33" hidden="1" x14ac:dyDescent="0.25">
      <c r="A10" s="145" t="s">
        <v>100</v>
      </c>
      <c r="B10" s="146" t="s">
        <v>466</v>
      </c>
      <c r="C10" s="147">
        <v>410</v>
      </c>
      <c r="D10" s="147">
        <v>205</v>
      </c>
      <c r="E10" s="147">
        <v>123</v>
      </c>
      <c r="F10" s="148"/>
      <c r="G10" s="149"/>
      <c r="H10" s="266"/>
      <c r="I10" s="267"/>
      <c r="J10" s="267"/>
      <c r="K10" s="148">
        <f t="shared" si="0"/>
        <v>-100</v>
      </c>
      <c r="L10" s="148">
        <f t="shared" si="0"/>
        <v>-100</v>
      </c>
      <c r="M10" s="148">
        <f t="shared" si="0"/>
        <v>-100</v>
      </c>
      <c r="N10" s="150"/>
      <c r="O10" s="148" t="s">
        <v>112</v>
      </c>
      <c r="P10" s="135"/>
    </row>
    <row r="11" spans="1:16" ht="59.25" customHeight="1" x14ac:dyDescent="0.25">
      <c r="A11" s="145" t="s">
        <v>101</v>
      </c>
      <c r="B11" s="146" t="s">
        <v>467</v>
      </c>
      <c r="C11" s="147">
        <v>370</v>
      </c>
      <c r="D11" s="147">
        <v>185</v>
      </c>
      <c r="E11" s="147">
        <v>111</v>
      </c>
      <c r="F11" s="145" t="s">
        <v>100</v>
      </c>
      <c r="G11" s="146" t="s">
        <v>468</v>
      </c>
      <c r="H11" s="266">
        <f>370*1.1</f>
        <v>407.00000000000006</v>
      </c>
      <c r="I11" s="266">
        <f>185*1.1</f>
        <v>203.50000000000003</v>
      </c>
      <c r="J11" s="266">
        <f>111*1.1</f>
        <v>122.10000000000001</v>
      </c>
      <c r="K11" s="148">
        <f t="shared" si="0"/>
        <v>10.000000000000014</v>
      </c>
      <c r="L11" s="148">
        <f t="shared" si="0"/>
        <v>10.000000000000014</v>
      </c>
      <c r="M11" s="148">
        <f t="shared" si="0"/>
        <v>10.000000000000014</v>
      </c>
      <c r="N11" s="145" t="s">
        <v>469</v>
      </c>
      <c r="O11" s="148" t="s">
        <v>112</v>
      </c>
      <c r="P11" s="135"/>
    </row>
    <row r="12" spans="1:16" ht="59.25" customHeight="1" x14ac:dyDescent="0.25">
      <c r="A12" s="145" t="s">
        <v>103</v>
      </c>
      <c r="B12" s="146" t="s">
        <v>470</v>
      </c>
      <c r="C12" s="147">
        <v>470</v>
      </c>
      <c r="D12" s="147">
        <v>235</v>
      </c>
      <c r="E12" s="147">
        <v>141</v>
      </c>
      <c r="F12" s="145" t="s">
        <v>101</v>
      </c>
      <c r="G12" s="146" t="s">
        <v>1045</v>
      </c>
      <c r="H12" s="266">
        <f>470*1.1</f>
        <v>517</v>
      </c>
      <c r="I12" s="266">
        <f>235*1.1</f>
        <v>258.5</v>
      </c>
      <c r="J12" s="266">
        <f>141*1.1</f>
        <v>155.10000000000002</v>
      </c>
      <c r="K12" s="148">
        <f t="shared" si="0"/>
        <v>10.000000000000014</v>
      </c>
      <c r="L12" s="148">
        <f t="shared" si="0"/>
        <v>10.000000000000014</v>
      </c>
      <c r="M12" s="148">
        <f t="shared" si="0"/>
        <v>10.000000000000014</v>
      </c>
      <c r="N12" s="145" t="s">
        <v>471</v>
      </c>
      <c r="O12" s="148" t="s">
        <v>112</v>
      </c>
      <c r="P12" s="135"/>
    </row>
    <row r="13" spans="1:16" ht="59.25" customHeight="1" x14ac:dyDescent="0.25">
      <c r="A13" s="150" t="s">
        <v>104</v>
      </c>
      <c r="B13" s="146" t="s">
        <v>472</v>
      </c>
      <c r="C13" s="147">
        <v>540</v>
      </c>
      <c r="D13" s="147">
        <v>270</v>
      </c>
      <c r="E13" s="147">
        <v>162</v>
      </c>
      <c r="F13" s="145" t="s">
        <v>103</v>
      </c>
      <c r="G13" s="146" t="s">
        <v>1046</v>
      </c>
      <c r="H13" s="266">
        <f>540*1.1</f>
        <v>594</v>
      </c>
      <c r="I13" s="266">
        <f>270*1.1</f>
        <v>297</v>
      </c>
      <c r="J13" s="266">
        <f>162*1.1</f>
        <v>178.20000000000002</v>
      </c>
      <c r="K13" s="148">
        <f t="shared" si="0"/>
        <v>10.000000000000014</v>
      </c>
      <c r="L13" s="148">
        <f t="shared" si="0"/>
        <v>10.000000000000014</v>
      </c>
      <c r="M13" s="148">
        <f t="shared" si="0"/>
        <v>10.000000000000014</v>
      </c>
      <c r="N13" s="145" t="s">
        <v>473</v>
      </c>
      <c r="O13" s="148" t="s">
        <v>112</v>
      </c>
      <c r="P13" s="135"/>
    </row>
    <row r="14" spans="1:16" x14ac:dyDescent="0.25">
      <c r="A14" s="150" t="s">
        <v>106</v>
      </c>
      <c r="B14" s="146" t="s">
        <v>474</v>
      </c>
      <c r="C14" s="148"/>
      <c r="D14" s="148"/>
      <c r="E14" s="148"/>
      <c r="F14" s="150" t="s">
        <v>104</v>
      </c>
      <c r="G14" s="146" t="s">
        <v>474</v>
      </c>
      <c r="H14" s="266"/>
      <c r="I14" s="266"/>
      <c r="J14" s="266"/>
      <c r="K14" s="148"/>
      <c r="L14" s="148"/>
      <c r="M14" s="148"/>
      <c r="N14" s="148"/>
      <c r="O14" s="148" t="s">
        <v>112</v>
      </c>
      <c r="P14" s="135"/>
    </row>
    <row r="15" spans="1:16" x14ac:dyDescent="0.25">
      <c r="A15" s="150" t="s">
        <v>475</v>
      </c>
      <c r="B15" s="146" t="s">
        <v>476</v>
      </c>
      <c r="C15" s="147">
        <v>210</v>
      </c>
      <c r="D15" s="147">
        <v>105</v>
      </c>
      <c r="E15" s="147">
        <v>63</v>
      </c>
      <c r="F15" s="150" t="s">
        <v>477</v>
      </c>
      <c r="G15" s="146" t="s">
        <v>476</v>
      </c>
      <c r="H15" s="266">
        <f>210*1.1</f>
        <v>231.00000000000003</v>
      </c>
      <c r="I15" s="266">
        <f>105*1.1</f>
        <v>115.50000000000001</v>
      </c>
      <c r="J15" s="266">
        <f>63*1.1</f>
        <v>69.300000000000011</v>
      </c>
      <c r="K15" s="148">
        <f t="shared" si="0"/>
        <v>10.000000000000014</v>
      </c>
      <c r="L15" s="148">
        <f t="shared" si="0"/>
        <v>10.000000000000014</v>
      </c>
      <c r="M15" s="148">
        <f t="shared" si="0"/>
        <v>10.000000000000014</v>
      </c>
      <c r="N15" s="148"/>
      <c r="O15" s="148" t="s">
        <v>112</v>
      </c>
      <c r="P15" s="135"/>
    </row>
    <row r="16" spans="1:16" x14ac:dyDescent="0.25">
      <c r="A16" s="150" t="s">
        <v>478</v>
      </c>
      <c r="B16" s="146" t="s">
        <v>479</v>
      </c>
      <c r="C16" s="147">
        <v>120</v>
      </c>
      <c r="D16" s="147">
        <v>60</v>
      </c>
      <c r="E16" s="147">
        <v>36</v>
      </c>
      <c r="F16" s="150" t="s">
        <v>480</v>
      </c>
      <c r="G16" s="146" t="s">
        <v>479</v>
      </c>
      <c r="H16" s="266">
        <f>120*1.1</f>
        <v>132</v>
      </c>
      <c r="I16" s="266">
        <f>60*1.1</f>
        <v>66</v>
      </c>
      <c r="J16" s="266">
        <f>36*1.1</f>
        <v>39.6</v>
      </c>
      <c r="K16" s="148">
        <f t="shared" si="0"/>
        <v>10.000000000000014</v>
      </c>
      <c r="L16" s="148">
        <f t="shared" si="0"/>
        <v>10.000000000000014</v>
      </c>
      <c r="M16" s="148">
        <f t="shared" si="0"/>
        <v>10.000000000000014</v>
      </c>
      <c r="N16" s="148"/>
      <c r="O16" s="148" t="s">
        <v>112</v>
      </c>
      <c r="P16" s="135"/>
    </row>
    <row r="17" spans="1:16" x14ac:dyDescent="0.25">
      <c r="A17" s="150" t="s">
        <v>108</v>
      </c>
      <c r="B17" s="146" t="s">
        <v>481</v>
      </c>
      <c r="C17" s="147"/>
      <c r="D17" s="147"/>
      <c r="E17" s="147"/>
      <c r="F17" s="150" t="s">
        <v>106</v>
      </c>
      <c r="G17" s="146" t="s">
        <v>481</v>
      </c>
      <c r="H17" s="266"/>
      <c r="I17" s="266"/>
      <c r="J17" s="266"/>
      <c r="K17" s="148"/>
      <c r="L17" s="148"/>
      <c r="M17" s="148"/>
      <c r="N17" s="148"/>
      <c r="O17" s="148" t="s">
        <v>112</v>
      </c>
      <c r="P17" s="135"/>
    </row>
    <row r="18" spans="1:16" x14ac:dyDescent="0.25">
      <c r="A18" s="150" t="s">
        <v>482</v>
      </c>
      <c r="B18" s="146" t="s">
        <v>483</v>
      </c>
      <c r="C18" s="147">
        <v>130</v>
      </c>
      <c r="D18" s="147">
        <v>65</v>
      </c>
      <c r="E18" s="147">
        <v>39</v>
      </c>
      <c r="F18" s="150" t="s">
        <v>475</v>
      </c>
      <c r="G18" s="146" t="s">
        <v>483</v>
      </c>
      <c r="H18" s="266">
        <f>130*1.1</f>
        <v>143</v>
      </c>
      <c r="I18" s="266">
        <f>65*1.1</f>
        <v>71.5</v>
      </c>
      <c r="J18" s="266">
        <f>39*1.1</f>
        <v>42.900000000000006</v>
      </c>
      <c r="K18" s="148">
        <f t="shared" si="0"/>
        <v>10.000000000000014</v>
      </c>
      <c r="L18" s="148">
        <f t="shared" si="0"/>
        <v>10.000000000000014</v>
      </c>
      <c r="M18" s="148">
        <f t="shared" si="0"/>
        <v>10.000000000000014</v>
      </c>
      <c r="N18" s="148"/>
      <c r="O18" s="148" t="s">
        <v>112</v>
      </c>
      <c r="P18" s="135"/>
    </row>
    <row r="19" spans="1:16" x14ac:dyDescent="0.25">
      <c r="A19" s="150" t="s">
        <v>484</v>
      </c>
      <c r="B19" s="146" t="s">
        <v>485</v>
      </c>
      <c r="C19" s="147">
        <v>110</v>
      </c>
      <c r="D19" s="147">
        <v>55</v>
      </c>
      <c r="E19" s="147">
        <v>33</v>
      </c>
      <c r="F19" s="150" t="s">
        <v>478</v>
      </c>
      <c r="G19" s="146" t="s">
        <v>485</v>
      </c>
      <c r="H19" s="266">
        <f>110*1.1</f>
        <v>121.00000000000001</v>
      </c>
      <c r="I19" s="266">
        <f>55*1.1</f>
        <v>60.500000000000007</v>
      </c>
      <c r="J19" s="266">
        <f>33*1.1</f>
        <v>36.300000000000004</v>
      </c>
      <c r="K19" s="148">
        <f t="shared" si="0"/>
        <v>10.000000000000014</v>
      </c>
      <c r="L19" s="148">
        <f t="shared" si="0"/>
        <v>10.000000000000014</v>
      </c>
      <c r="M19" s="148">
        <f t="shared" si="0"/>
        <v>10.000000000000014</v>
      </c>
      <c r="N19" s="148"/>
      <c r="O19" s="148" t="s">
        <v>112</v>
      </c>
      <c r="P19" s="135"/>
    </row>
    <row r="20" spans="1:16" ht="49.5" x14ac:dyDescent="0.25">
      <c r="A20" s="151" t="s">
        <v>110</v>
      </c>
      <c r="B20" s="152" t="s">
        <v>486</v>
      </c>
      <c r="C20" s="147">
        <v>450</v>
      </c>
      <c r="D20" s="147">
        <v>225</v>
      </c>
      <c r="E20" s="147">
        <v>135</v>
      </c>
      <c r="F20" s="151" t="s">
        <v>108</v>
      </c>
      <c r="G20" s="152" t="s">
        <v>486</v>
      </c>
      <c r="H20" s="266">
        <f>450*1.1</f>
        <v>495.00000000000006</v>
      </c>
      <c r="I20" s="266">
        <f>225*1.1</f>
        <v>247.50000000000003</v>
      </c>
      <c r="J20" s="266">
        <f>135*1.1</f>
        <v>148.5</v>
      </c>
      <c r="K20" s="148">
        <f t="shared" si="0"/>
        <v>10.000000000000014</v>
      </c>
      <c r="L20" s="148">
        <f t="shared" si="0"/>
        <v>10.000000000000014</v>
      </c>
      <c r="M20" s="148">
        <f t="shared" si="0"/>
        <v>10.000000000000014</v>
      </c>
      <c r="N20" s="148"/>
      <c r="O20" s="148" t="s">
        <v>112</v>
      </c>
      <c r="P20" s="135"/>
    </row>
    <row r="21" spans="1:16" s="26" customFormat="1" x14ac:dyDescent="0.25">
      <c r="A21" s="139">
        <v>2</v>
      </c>
      <c r="B21" s="143" t="s">
        <v>487</v>
      </c>
      <c r="C21" s="153"/>
      <c r="D21" s="153"/>
      <c r="E21" s="153"/>
      <c r="F21" s="139">
        <v>2</v>
      </c>
      <c r="G21" s="143" t="s">
        <v>487</v>
      </c>
      <c r="H21" s="268" t="s">
        <v>97</v>
      </c>
      <c r="I21" s="269"/>
      <c r="J21" s="269"/>
      <c r="K21" s="148"/>
      <c r="L21" s="148"/>
      <c r="M21" s="148"/>
      <c r="N21" s="139"/>
      <c r="O21" s="144"/>
      <c r="P21" s="140"/>
    </row>
    <row r="22" spans="1:16" ht="43.5" customHeight="1" x14ac:dyDescent="0.25">
      <c r="A22" s="150" t="s">
        <v>134</v>
      </c>
      <c r="B22" s="146" t="s">
        <v>488</v>
      </c>
      <c r="C22" s="147">
        <v>700</v>
      </c>
      <c r="D22" s="147">
        <v>350</v>
      </c>
      <c r="E22" s="147">
        <v>210</v>
      </c>
      <c r="F22" s="150" t="s">
        <v>134</v>
      </c>
      <c r="G22" s="146" t="s">
        <v>488</v>
      </c>
      <c r="H22" s="266">
        <f>700*1.1</f>
        <v>770.00000000000011</v>
      </c>
      <c r="I22" s="266">
        <f>350*1.1</f>
        <v>385.00000000000006</v>
      </c>
      <c r="J22" s="266">
        <f>210*1.1</f>
        <v>231.00000000000003</v>
      </c>
      <c r="K22" s="148">
        <f t="shared" si="0"/>
        <v>10.000000000000014</v>
      </c>
      <c r="L22" s="148">
        <f t="shared" si="0"/>
        <v>10.000000000000014</v>
      </c>
      <c r="M22" s="148">
        <f t="shared" si="0"/>
        <v>10.000000000000014</v>
      </c>
      <c r="N22" s="148"/>
      <c r="O22" s="148" t="s">
        <v>112</v>
      </c>
      <c r="P22" s="135"/>
    </row>
    <row r="23" spans="1:16" ht="27.75" customHeight="1" x14ac:dyDescent="0.25">
      <c r="A23" s="145" t="s">
        <v>29</v>
      </c>
      <c r="B23" s="146" t="s">
        <v>489</v>
      </c>
      <c r="C23" s="147"/>
      <c r="D23" s="147"/>
      <c r="E23" s="147"/>
      <c r="F23" s="145" t="s">
        <v>29</v>
      </c>
      <c r="G23" s="146" t="s">
        <v>489</v>
      </c>
      <c r="H23" s="266"/>
      <c r="I23" s="267"/>
      <c r="J23" s="267"/>
      <c r="K23" s="148"/>
      <c r="L23" s="148"/>
      <c r="M23" s="148"/>
      <c r="N23" s="150"/>
      <c r="O23" s="142"/>
      <c r="P23" s="135"/>
    </row>
    <row r="24" spans="1:16" ht="51.75" customHeight="1" x14ac:dyDescent="0.25">
      <c r="A24" s="145" t="s">
        <v>490</v>
      </c>
      <c r="B24" s="146" t="s">
        <v>491</v>
      </c>
      <c r="C24" s="147">
        <v>140</v>
      </c>
      <c r="D24" s="147"/>
      <c r="E24" s="147"/>
      <c r="F24" s="145" t="s">
        <v>490</v>
      </c>
      <c r="G24" s="146" t="s">
        <v>491</v>
      </c>
      <c r="H24" s="266">
        <f>140*1.1</f>
        <v>154</v>
      </c>
      <c r="I24" s="267"/>
      <c r="J24" s="267"/>
      <c r="K24" s="148">
        <f t="shared" si="0"/>
        <v>10.000000000000014</v>
      </c>
      <c r="L24" s="148"/>
      <c r="M24" s="148"/>
      <c r="N24" s="148"/>
      <c r="O24" s="148" t="s">
        <v>112</v>
      </c>
      <c r="P24" s="135"/>
    </row>
    <row r="25" spans="1:16" ht="45" customHeight="1" x14ac:dyDescent="0.25">
      <c r="A25" s="145" t="s">
        <v>492</v>
      </c>
      <c r="B25" s="146" t="s">
        <v>493</v>
      </c>
      <c r="C25" s="147">
        <v>120</v>
      </c>
      <c r="D25" s="147"/>
      <c r="E25" s="147"/>
      <c r="F25" s="145" t="s">
        <v>492</v>
      </c>
      <c r="G25" s="146" t="s">
        <v>493</v>
      </c>
      <c r="H25" s="266">
        <f>120*1.1</f>
        <v>132</v>
      </c>
      <c r="I25" s="267"/>
      <c r="J25" s="267"/>
      <c r="K25" s="148">
        <f t="shared" si="0"/>
        <v>10.000000000000014</v>
      </c>
      <c r="L25" s="148"/>
      <c r="M25" s="148"/>
      <c r="N25" s="148"/>
      <c r="O25" s="148" t="s">
        <v>112</v>
      </c>
      <c r="P25" s="135"/>
    </row>
    <row r="26" spans="1:16" x14ac:dyDescent="0.25">
      <c r="A26" s="145" t="s">
        <v>494</v>
      </c>
      <c r="B26" s="146" t="s">
        <v>495</v>
      </c>
      <c r="C26" s="147">
        <v>140</v>
      </c>
      <c r="D26" s="147"/>
      <c r="E26" s="147"/>
      <c r="F26" s="145" t="s">
        <v>494</v>
      </c>
      <c r="G26" s="146" t="s">
        <v>495</v>
      </c>
      <c r="H26" s="266">
        <f>140*1.1</f>
        <v>154</v>
      </c>
      <c r="I26" s="267"/>
      <c r="J26" s="267"/>
      <c r="K26" s="148">
        <f t="shared" si="0"/>
        <v>10.000000000000014</v>
      </c>
      <c r="L26" s="148"/>
      <c r="M26" s="148"/>
      <c r="N26" s="148"/>
      <c r="O26" s="148" t="s">
        <v>112</v>
      </c>
      <c r="P26" s="135"/>
    </row>
    <row r="27" spans="1:16" x14ac:dyDescent="0.25">
      <c r="A27" s="150" t="s">
        <v>138</v>
      </c>
      <c r="B27" s="146" t="s">
        <v>474</v>
      </c>
      <c r="C27" s="147"/>
      <c r="D27" s="147"/>
      <c r="E27" s="147"/>
      <c r="F27" s="150" t="s">
        <v>138</v>
      </c>
      <c r="G27" s="146" t="s">
        <v>474</v>
      </c>
      <c r="H27" s="266"/>
      <c r="I27" s="267"/>
      <c r="J27" s="267"/>
      <c r="K27" s="148"/>
      <c r="L27" s="148"/>
      <c r="M27" s="148"/>
      <c r="N27" s="148"/>
      <c r="O27" s="148" t="s">
        <v>112</v>
      </c>
      <c r="P27" s="135"/>
    </row>
    <row r="28" spans="1:16" x14ac:dyDescent="0.25">
      <c r="A28" s="150" t="s">
        <v>496</v>
      </c>
      <c r="B28" s="146" t="s">
        <v>497</v>
      </c>
      <c r="C28" s="147">
        <v>140</v>
      </c>
      <c r="D28" s="147">
        <v>70</v>
      </c>
      <c r="E28" s="147">
        <v>56</v>
      </c>
      <c r="F28" s="150" t="s">
        <v>496</v>
      </c>
      <c r="G28" s="146" t="s">
        <v>497</v>
      </c>
      <c r="H28" s="266">
        <f>140*1.1</f>
        <v>154</v>
      </c>
      <c r="I28" s="266">
        <f>70*1.1</f>
        <v>77</v>
      </c>
      <c r="J28" s="266">
        <f>56*1.1</f>
        <v>61.600000000000009</v>
      </c>
      <c r="K28" s="148">
        <f t="shared" si="0"/>
        <v>10.000000000000014</v>
      </c>
      <c r="L28" s="148">
        <f t="shared" si="0"/>
        <v>10.000000000000014</v>
      </c>
      <c r="M28" s="148">
        <f t="shared" si="0"/>
        <v>10.000000000000014</v>
      </c>
      <c r="N28" s="148"/>
      <c r="O28" s="148" t="s">
        <v>112</v>
      </c>
      <c r="P28" s="135"/>
    </row>
    <row r="29" spans="1:16" x14ac:dyDescent="0.25">
      <c r="A29" s="150" t="s">
        <v>498</v>
      </c>
      <c r="B29" s="146" t="s">
        <v>479</v>
      </c>
      <c r="C29" s="147">
        <v>110</v>
      </c>
      <c r="D29" s="147">
        <v>55</v>
      </c>
      <c r="E29" s="147">
        <v>25</v>
      </c>
      <c r="F29" s="150" t="s">
        <v>498</v>
      </c>
      <c r="G29" s="146" t="s">
        <v>479</v>
      </c>
      <c r="H29" s="266">
        <f>110*1.1</f>
        <v>121.00000000000001</v>
      </c>
      <c r="I29" s="266">
        <f>55*1.1</f>
        <v>60.500000000000007</v>
      </c>
      <c r="J29" s="266">
        <f>25*1.1</f>
        <v>27.500000000000004</v>
      </c>
      <c r="K29" s="148">
        <f t="shared" si="0"/>
        <v>10.000000000000014</v>
      </c>
      <c r="L29" s="148">
        <f t="shared" si="0"/>
        <v>10.000000000000014</v>
      </c>
      <c r="M29" s="148">
        <f t="shared" si="0"/>
        <v>10.000000000000014</v>
      </c>
      <c r="N29" s="148"/>
      <c r="O29" s="148" t="s">
        <v>112</v>
      </c>
      <c r="P29" s="135"/>
    </row>
    <row r="30" spans="1:16" x14ac:dyDescent="0.25">
      <c r="A30" s="150" t="s">
        <v>139</v>
      </c>
      <c r="B30" s="146" t="s">
        <v>481</v>
      </c>
      <c r="C30" s="147"/>
      <c r="D30" s="147"/>
      <c r="E30" s="147"/>
      <c r="F30" s="150" t="s">
        <v>139</v>
      </c>
      <c r="G30" s="146" t="s">
        <v>481</v>
      </c>
      <c r="H30" s="266"/>
      <c r="I30" s="267"/>
      <c r="J30" s="267"/>
      <c r="K30" s="148"/>
      <c r="L30" s="148"/>
      <c r="M30" s="148"/>
      <c r="N30" s="150"/>
      <c r="O30" s="148"/>
      <c r="P30" s="135"/>
    </row>
    <row r="31" spans="1:16" x14ac:dyDescent="0.25">
      <c r="A31" s="150" t="s">
        <v>499</v>
      </c>
      <c r="B31" s="90" t="s">
        <v>500</v>
      </c>
      <c r="C31" s="147">
        <v>110</v>
      </c>
      <c r="D31" s="147">
        <v>56</v>
      </c>
      <c r="E31" s="147">
        <v>33</v>
      </c>
      <c r="F31" s="150" t="s">
        <v>499</v>
      </c>
      <c r="G31" s="90" t="s">
        <v>500</v>
      </c>
      <c r="H31" s="266">
        <f>110*1.1</f>
        <v>121.00000000000001</v>
      </c>
      <c r="I31" s="266">
        <f>56*1.1</f>
        <v>61.600000000000009</v>
      </c>
      <c r="J31" s="266">
        <f>33*1.1</f>
        <v>36.300000000000004</v>
      </c>
      <c r="K31" s="148">
        <f t="shared" si="0"/>
        <v>10.000000000000014</v>
      </c>
      <c r="L31" s="148">
        <f t="shared" si="0"/>
        <v>10.000000000000014</v>
      </c>
      <c r="M31" s="148">
        <f t="shared" si="0"/>
        <v>10.000000000000014</v>
      </c>
      <c r="N31" s="148"/>
      <c r="O31" s="148" t="s">
        <v>112</v>
      </c>
      <c r="P31" s="135"/>
    </row>
    <row r="32" spans="1:16" x14ac:dyDescent="0.25">
      <c r="A32" s="150" t="s">
        <v>501</v>
      </c>
      <c r="B32" s="146" t="s">
        <v>485</v>
      </c>
      <c r="C32" s="147">
        <v>90</v>
      </c>
      <c r="D32" s="147">
        <v>45</v>
      </c>
      <c r="E32" s="147">
        <v>25</v>
      </c>
      <c r="F32" s="150" t="s">
        <v>501</v>
      </c>
      <c r="G32" s="146" t="s">
        <v>485</v>
      </c>
      <c r="H32" s="266">
        <f>90*1.1</f>
        <v>99.000000000000014</v>
      </c>
      <c r="I32" s="266">
        <f>45*1.1</f>
        <v>49.500000000000007</v>
      </c>
      <c r="J32" s="266">
        <f>25*1.1</f>
        <v>27.500000000000004</v>
      </c>
      <c r="K32" s="148">
        <f t="shared" si="0"/>
        <v>10.000000000000014</v>
      </c>
      <c r="L32" s="148">
        <f t="shared" si="0"/>
        <v>10.000000000000014</v>
      </c>
      <c r="M32" s="148">
        <f t="shared" si="0"/>
        <v>10.000000000000014</v>
      </c>
      <c r="N32" s="148"/>
      <c r="O32" s="148" t="s">
        <v>112</v>
      </c>
      <c r="P32" s="135"/>
    </row>
    <row r="33" spans="1:16" ht="42" customHeight="1" x14ac:dyDescent="0.25">
      <c r="A33" s="150" t="s">
        <v>140</v>
      </c>
      <c r="B33" s="146" t="s">
        <v>502</v>
      </c>
      <c r="C33" s="147">
        <v>450</v>
      </c>
      <c r="D33" s="147">
        <v>225</v>
      </c>
      <c r="E33" s="147">
        <v>135</v>
      </c>
      <c r="F33" s="150" t="s">
        <v>140</v>
      </c>
      <c r="G33" s="146" t="s">
        <v>502</v>
      </c>
      <c r="H33" s="266">
        <f>450*1.1</f>
        <v>495.00000000000006</v>
      </c>
      <c r="I33" s="266">
        <f>225*1.1</f>
        <v>247.50000000000003</v>
      </c>
      <c r="J33" s="266">
        <f>135*1.1</f>
        <v>148.5</v>
      </c>
      <c r="K33" s="148">
        <f t="shared" si="0"/>
        <v>10.000000000000014</v>
      </c>
      <c r="L33" s="148">
        <f t="shared" si="0"/>
        <v>10.000000000000014</v>
      </c>
      <c r="M33" s="148">
        <f t="shared" si="0"/>
        <v>10.000000000000014</v>
      </c>
      <c r="N33" s="148"/>
      <c r="O33" s="148" t="s">
        <v>112</v>
      </c>
      <c r="P33" s="135"/>
    </row>
    <row r="34" spans="1:16" ht="43.5" customHeight="1" x14ac:dyDescent="0.25">
      <c r="A34" s="150" t="s">
        <v>141</v>
      </c>
      <c r="B34" s="146" t="s">
        <v>503</v>
      </c>
      <c r="C34" s="147">
        <v>350</v>
      </c>
      <c r="D34" s="147">
        <v>175</v>
      </c>
      <c r="E34" s="147">
        <v>105</v>
      </c>
      <c r="F34" s="150" t="s">
        <v>141</v>
      </c>
      <c r="G34" s="146" t="s">
        <v>503</v>
      </c>
      <c r="H34" s="266">
        <f>350*1.1</f>
        <v>385.00000000000006</v>
      </c>
      <c r="I34" s="266">
        <f>175*1.1</f>
        <v>192.50000000000003</v>
      </c>
      <c r="J34" s="266">
        <f>105*1.1</f>
        <v>115.50000000000001</v>
      </c>
      <c r="K34" s="148">
        <f t="shared" si="0"/>
        <v>10.000000000000014</v>
      </c>
      <c r="L34" s="148">
        <f t="shared" si="0"/>
        <v>10.000000000000014</v>
      </c>
      <c r="M34" s="148">
        <f t="shared" si="0"/>
        <v>10.000000000000014</v>
      </c>
      <c r="N34" s="148"/>
      <c r="O34" s="148" t="s">
        <v>112</v>
      </c>
      <c r="P34" s="135"/>
    </row>
    <row r="35" spans="1:16" ht="54.75" customHeight="1" x14ac:dyDescent="0.25">
      <c r="A35" s="150" t="s">
        <v>143</v>
      </c>
      <c r="B35" s="146" t="s">
        <v>504</v>
      </c>
      <c r="C35" s="147">
        <v>450</v>
      </c>
      <c r="D35" s="147">
        <v>225</v>
      </c>
      <c r="E35" s="147">
        <v>135</v>
      </c>
      <c r="F35" s="150" t="s">
        <v>143</v>
      </c>
      <c r="G35" s="146" t="s">
        <v>505</v>
      </c>
      <c r="H35" s="266">
        <f>450*1.1</f>
        <v>495.00000000000006</v>
      </c>
      <c r="I35" s="266">
        <f>225*1.1</f>
        <v>247.50000000000003</v>
      </c>
      <c r="J35" s="266">
        <f>135*1.1</f>
        <v>148.5</v>
      </c>
      <c r="K35" s="148">
        <f t="shared" si="0"/>
        <v>10.000000000000014</v>
      </c>
      <c r="L35" s="148">
        <f t="shared" si="0"/>
        <v>10.000000000000014</v>
      </c>
      <c r="M35" s="148">
        <f t="shared" si="0"/>
        <v>10.000000000000014</v>
      </c>
      <c r="N35" s="145"/>
      <c r="O35" s="148" t="s">
        <v>112</v>
      </c>
      <c r="P35" s="135"/>
    </row>
    <row r="36" spans="1:16" s="26" customFormat="1" x14ac:dyDescent="0.25">
      <c r="A36" s="139">
        <v>3</v>
      </c>
      <c r="B36" s="143" t="s">
        <v>506</v>
      </c>
      <c r="C36" s="154"/>
      <c r="D36" s="154"/>
      <c r="E36" s="154"/>
      <c r="F36" s="139">
        <v>3</v>
      </c>
      <c r="G36" s="143" t="s">
        <v>506</v>
      </c>
      <c r="H36" s="268"/>
      <c r="I36" s="269"/>
      <c r="J36" s="269"/>
      <c r="K36" s="148"/>
      <c r="L36" s="148"/>
      <c r="M36" s="148"/>
      <c r="N36" s="139"/>
      <c r="O36" s="144"/>
      <c r="P36" s="140"/>
    </row>
    <row r="37" spans="1:16" x14ac:dyDescent="0.25">
      <c r="A37" s="150" t="s">
        <v>41</v>
      </c>
      <c r="B37" s="146" t="s">
        <v>474</v>
      </c>
      <c r="C37" s="147"/>
      <c r="D37" s="147"/>
      <c r="E37" s="147"/>
      <c r="F37" s="150" t="s">
        <v>41</v>
      </c>
      <c r="G37" s="146" t="s">
        <v>474</v>
      </c>
      <c r="H37" s="266"/>
      <c r="I37" s="267"/>
      <c r="J37" s="267"/>
      <c r="K37" s="148"/>
      <c r="L37" s="148"/>
      <c r="M37" s="148"/>
      <c r="N37" s="150"/>
      <c r="O37" s="142"/>
      <c r="P37" s="135"/>
    </row>
    <row r="38" spans="1:16" x14ac:dyDescent="0.25">
      <c r="A38" s="150" t="s">
        <v>507</v>
      </c>
      <c r="B38" s="146" t="s">
        <v>497</v>
      </c>
      <c r="C38" s="147">
        <v>120</v>
      </c>
      <c r="D38" s="147">
        <v>70</v>
      </c>
      <c r="E38" s="147">
        <v>56</v>
      </c>
      <c r="F38" s="150" t="s">
        <v>507</v>
      </c>
      <c r="G38" s="146" t="s">
        <v>497</v>
      </c>
      <c r="H38" s="266">
        <f>120*1.1</f>
        <v>132</v>
      </c>
      <c r="I38" s="266">
        <f>70*1.1</f>
        <v>77</v>
      </c>
      <c r="J38" s="266">
        <f>56*1.1</f>
        <v>61.600000000000009</v>
      </c>
      <c r="K38" s="148">
        <f t="shared" si="0"/>
        <v>10.000000000000014</v>
      </c>
      <c r="L38" s="148">
        <f t="shared" si="0"/>
        <v>10.000000000000014</v>
      </c>
      <c r="M38" s="148">
        <f t="shared" si="0"/>
        <v>10.000000000000014</v>
      </c>
      <c r="N38" s="148"/>
      <c r="O38" s="148" t="s">
        <v>112</v>
      </c>
      <c r="P38" s="135"/>
    </row>
    <row r="39" spans="1:16" x14ac:dyDescent="0.25">
      <c r="A39" s="150" t="s">
        <v>508</v>
      </c>
      <c r="B39" s="146" t="s">
        <v>479</v>
      </c>
      <c r="C39" s="147">
        <v>110</v>
      </c>
      <c r="D39" s="147">
        <v>55</v>
      </c>
      <c r="E39" s="147">
        <v>25</v>
      </c>
      <c r="F39" s="150" t="s">
        <v>508</v>
      </c>
      <c r="G39" s="146" t="s">
        <v>479</v>
      </c>
      <c r="H39" s="266">
        <f>110*1.1</f>
        <v>121.00000000000001</v>
      </c>
      <c r="I39" s="266">
        <f>55*1.1</f>
        <v>60.500000000000007</v>
      </c>
      <c r="J39" s="266">
        <f>25*1.1</f>
        <v>27.500000000000004</v>
      </c>
      <c r="K39" s="148">
        <f t="shared" si="0"/>
        <v>10.000000000000014</v>
      </c>
      <c r="L39" s="148">
        <f t="shared" si="0"/>
        <v>10.000000000000014</v>
      </c>
      <c r="M39" s="148">
        <f t="shared" si="0"/>
        <v>10.000000000000014</v>
      </c>
      <c r="N39" s="148"/>
      <c r="O39" s="148" t="s">
        <v>112</v>
      </c>
      <c r="P39" s="135"/>
    </row>
    <row r="40" spans="1:16" x14ac:dyDescent="0.25">
      <c r="A40" s="150" t="s">
        <v>42</v>
      </c>
      <c r="B40" s="146" t="s">
        <v>481</v>
      </c>
      <c r="C40" s="147"/>
      <c r="D40" s="147"/>
      <c r="E40" s="147"/>
      <c r="F40" s="150" t="s">
        <v>42</v>
      </c>
      <c r="G40" s="146" t="s">
        <v>481</v>
      </c>
      <c r="H40" s="266"/>
      <c r="I40" s="266"/>
      <c r="J40" s="266"/>
      <c r="K40" s="148"/>
      <c r="L40" s="148"/>
      <c r="M40" s="148"/>
      <c r="N40" s="148"/>
      <c r="O40" s="142"/>
      <c r="P40" s="135"/>
    </row>
    <row r="41" spans="1:16" x14ac:dyDescent="0.25">
      <c r="A41" s="150" t="s">
        <v>509</v>
      </c>
      <c r="B41" s="146" t="s">
        <v>500</v>
      </c>
      <c r="C41" s="147">
        <v>110</v>
      </c>
      <c r="D41" s="147">
        <v>56</v>
      </c>
      <c r="E41" s="147">
        <v>33</v>
      </c>
      <c r="F41" s="150" t="s">
        <v>509</v>
      </c>
      <c r="G41" s="146" t="s">
        <v>500</v>
      </c>
      <c r="H41" s="266">
        <f>110*1.1</f>
        <v>121.00000000000001</v>
      </c>
      <c r="I41" s="266">
        <f>56*1.1</f>
        <v>61.600000000000009</v>
      </c>
      <c r="J41" s="266">
        <f>33*1.1</f>
        <v>36.300000000000004</v>
      </c>
      <c r="K41" s="148">
        <f t="shared" si="0"/>
        <v>10.000000000000014</v>
      </c>
      <c r="L41" s="148">
        <f t="shared" si="0"/>
        <v>10.000000000000014</v>
      </c>
      <c r="M41" s="148">
        <f t="shared" si="0"/>
        <v>10.000000000000014</v>
      </c>
      <c r="N41" s="148"/>
      <c r="O41" s="148" t="s">
        <v>112</v>
      </c>
      <c r="P41" s="135"/>
    </row>
    <row r="42" spans="1:16" x14ac:dyDescent="0.25">
      <c r="A42" s="150" t="s">
        <v>510</v>
      </c>
      <c r="B42" s="146" t="s">
        <v>485</v>
      </c>
      <c r="C42" s="147">
        <v>90</v>
      </c>
      <c r="D42" s="147">
        <v>45</v>
      </c>
      <c r="E42" s="147">
        <v>25</v>
      </c>
      <c r="F42" s="150" t="s">
        <v>510</v>
      </c>
      <c r="G42" s="146" t="s">
        <v>485</v>
      </c>
      <c r="H42" s="266">
        <f>90*1.1</f>
        <v>99.000000000000014</v>
      </c>
      <c r="I42" s="266">
        <f>45*1.1</f>
        <v>49.500000000000007</v>
      </c>
      <c r="J42" s="266">
        <f>25*1.1</f>
        <v>27.500000000000004</v>
      </c>
      <c r="K42" s="148">
        <f t="shared" si="0"/>
        <v>10.000000000000014</v>
      </c>
      <c r="L42" s="148">
        <f t="shared" si="0"/>
        <v>10.000000000000014</v>
      </c>
      <c r="M42" s="148">
        <f t="shared" si="0"/>
        <v>10.000000000000014</v>
      </c>
      <c r="N42" s="148"/>
      <c r="O42" s="148" t="s">
        <v>112</v>
      </c>
      <c r="P42" s="135"/>
    </row>
    <row r="43" spans="1:16" ht="60" customHeight="1" x14ac:dyDescent="0.25">
      <c r="A43" s="145" t="s">
        <v>43</v>
      </c>
      <c r="B43" s="146" t="s">
        <v>511</v>
      </c>
      <c r="C43" s="147">
        <v>800</v>
      </c>
      <c r="D43" s="147">
        <v>400</v>
      </c>
      <c r="E43" s="147">
        <v>240</v>
      </c>
      <c r="F43" s="145" t="s">
        <v>43</v>
      </c>
      <c r="G43" s="146" t="s">
        <v>511</v>
      </c>
      <c r="H43" s="266">
        <f>800*1.1</f>
        <v>880.00000000000011</v>
      </c>
      <c r="I43" s="266">
        <f>400*1.1</f>
        <v>440.00000000000006</v>
      </c>
      <c r="J43" s="266">
        <f>240*1.1</f>
        <v>264</v>
      </c>
      <c r="K43" s="148">
        <f t="shared" si="0"/>
        <v>10.000000000000014</v>
      </c>
      <c r="L43" s="148">
        <f t="shared" si="0"/>
        <v>10.000000000000014</v>
      </c>
      <c r="M43" s="148">
        <f t="shared" si="0"/>
        <v>10.000000000000014</v>
      </c>
      <c r="N43" s="148"/>
      <c r="O43" s="148" t="s">
        <v>112</v>
      </c>
      <c r="P43" s="135">
        <v>279</v>
      </c>
    </row>
    <row r="44" spans="1:16" ht="48" customHeight="1" x14ac:dyDescent="0.25">
      <c r="A44" s="150" t="s">
        <v>45</v>
      </c>
      <c r="B44" s="146" t="s">
        <v>512</v>
      </c>
      <c r="C44" s="147"/>
      <c r="D44" s="147"/>
      <c r="E44" s="147"/>
      <c r="F44" s="150" t="s">
        <v>45</v>
      </c>
      <c r="G44" s="146" t="s">
        <v>512</v>
      </c>
      <c r="H44" s="266"/>
      <c r="I44" s="267"/>
      <c r="J44" s="267"/>
      <c r="K44" s="148"/>
      <c r="L44" s="148"/>
      <c r="M44" s="148"/>
      <c r="N44" s="150"/>
      <c r="O44" s="142"/>
      <c r="P44" s="135"/>
    </row>
    <row r="45" spans="1:16" ht="75" customHeight="1" x14ac:dyDescent="0.25">
      <c r="A45" s="150" t="s">
        <v>513</v>
      </c>
      <c r="B45" s="146" t="s">
        <v>514</v>
      </c>
      <c r="C45" s="147">
        <v>800</v>
      </c>
      <c r="D45" s="147">
        <v>400</v>
      </c>
      <c r="E45" s="147">
        <v>240</v>
      </c>
      <c r="F45" s="150" t="s">
        <v>513</v>
      </c>
      <c r="G45" s="146" t="s">
        <v>514</v>
      </c>
      <c r="H45" s="266">
        <f>800*1.1</f>
        <v>880.00000000000011</v>
      </c>
      <c r="I45" s="266">
        <f>400*1.1</f>
        <v>440.00000000000006</v>
      </c>
      <c r="J45" s="266">
        <f>240*1.1</f>
        <v>264</v>
      </c>
      <c r="K45" s="148">
        <f t="shared" si="0"/>
        <v>10.000000000000014</v>
      </c>
      <c r="L45" s="148">
        <f t="shared" si="0"/>
        <v>10.000000000000014</v>
      </c>
      <c r="M45" s="148">
        <f t="shared" si="0"/>
        <v>10.000000000000014</v>
      </c>
      <c r="N45" s="148"/>
      <c r="O45" s="148" t="s">
        <v>112</v>
      </c>
      <c r="P45" s="135"/>
    </row>
    <row r="46" spans="1:16" ht="93.75" customHeight="1" x14ac:dyDescent="0.25">
      <c r="A46" s="145" t="s">
        <v>515</v>
      </c>
      <c r="B46" s="146" t="s">
        <v>516</v>
      </c>
      <c r="C46" s="147">
        <v>1000</v>
      </c>
      <c r="D46" s="147">
        <v>500</v>
      </c>
      <c r="E46" s="147">
        <v>300</v>
      </c>
      <c r="F46" s="145" t="s">
        <v>515</v>
      </c>
      <c r="G46" s="146" t="s">
        <v>516</v>
      </c>
      <c r="H46" s="266">
        <f>1000*1.1</f>
        <v>1100</v>
      </c>
      <c r="I46" s="266">
        <f>500*1.1</f>
        <v>550</v>
      </c>
      <c r="J46" s="266">
        <f>300*1.1</f>
        <v>330</v>
      </c>
      <c r="K46" s="148">
        <f t="shared" si="0"/>
        <v>10.000000000000014</v>
      </c>
      <c r="L46" s="148">
        <f t="shared" si="0"/>
        <v>10.000000000000014</v>
      </c>
      <c r="M46" s="148">
        <f t="shared" si="0"/>
        <v>10.000000000000014</v>
      </c>
      <c r="N46" s="148"/>
      <c r="O46" s="148" t="s">
        <v>112</v>
      </c>
      <c r="P46" s="135"/>
    </row>
    <row r="47" spans="1:16" ht="75" customHeight="1" x14ac:dyDescent="0.25">
      <c r="A47" s="145" t="s">
        <v>517</v>
      </c>
      <c r="B47" s="146" t="s">
        <v>518</v>
      </c>
      <c r="C47" s="147">
        <v>900</v>
      </c>
      <c r="D47" s="147">
        <v>450</v>
      </c>
      <c r="E47" s="147">
        <v>270</v>
      </c>
      <c r="F47" s="145" t="s">
        <v>517</v>
      </c>
      <c r="G47" s="146" t="s">
        <v>518</v>
      </c>
      <c r="H47" s="266">
        <f>900*1.1</f>
        <v>990.00000000000011</v>
      </c>
      <c r="I47" s="266">
        <f>450*1.1</f>
        <v>495.00000000000006</v>
      </c>
      <c r="J47" s="266">
        <f>270*1.1</f>
        <v>297</v>
      </c>
      <c r="K47" s="148">
        <f t="shared" si="0"/>
        <v>10.000000000000014</v>
      </c>
      <c r="L47" s="148">
        <f t="shared" si="0"/>
        <v>10.000000000000014</v>
      </c>
      <c r="M47" s="148">
        <f t="shared" si="0"/>
        <v>10.000000000000014</v>
      </c>
      <c r="N47" s="148"/>
      <c r="O47" s="148" t="s">
        <v>112</v>
      </c>
      <c r="P47" s="135"/>
    </row>
    <row r="48" spans="1:16" ht="39" customHeight="1" x14ac:dyDescent="0.25">
      <c r="A48" s="145" t="s">
        <v>519</v>
      </c>
      <c r="B48" s="146" t="s">
        <v>520</v>
      </c>
      <c r="C48" s="147">
        <v>250</v>
      </c>
      <c r="D48" s="147">
        <v>125</v>
      </c>
      <c r="E48" s="147">
        <v>75</v>
      </c>
      <c r="F48" s="145" t="s">
        <v>519</v>
      </c>
      <c r="G48" s="146" t="s">
        <v>520</v>
      </c>
      <c r="H48" s="266">
        <f>250*1.1</f>
        <v>275</v>
      </c>
      <c r="I48" s="266">
        <f>125*1.1</f>
        <v>137.5</v>
      </c>
      <c r="J48" s="266">
        <f>75*1.1</f>
        <v>82.5</v>
      </c>
      <c r="K48" s="148">
        <f t="shared" si="0"/>
        <v>10.000000000000014</v>
      </c>
      <c r="L48" s="148">
        <f t="shared" si="0"/>
        <v>10.000000000000014</v>
      </c>
      <c r="M48" s="148">
        <f t="shared" si="0"/>
        <v>10.000000000000014</v>
      </c>
      <c r="N48" s="148"/>
      <c r="O48" s="148" t="s">
        <v>112</v>
      </c>
      <c r="P48" s="135"/>
    </row>
    <row r="49" spans="1:16" ht="39" customHeight="1" x14ac:dyDescent="0.25">
      <c r="A49" s="145" t="s">
        <v>521</v>
      </c>
      <c r="B49" s="146" t="s">
        <v>522</v>
      </c>
      <c r="C49" s="147">
        <v>150</v>
      </c>
      <c r="D49" s="147">
        <v>75</v>
      </c>
      <c r="E49" s="147">
        <v>45</v>
      </c>
      <c r="F49" s="145" t="s">
        <v>521</v>
      </c>
      <c r="G49" s="146" t="s">
        <v>522</v>
      </c>
      <c r="H49" s="266">
        <f>150*1.1</f>
        <v>165</v>
      </c>
      <c r="I49" s="266">
        <f>75*1.1</f>
        <v>82.5</v>
      </c>
      <c r="J49" s="266">
        <f>45*1.1</f>
        <v>49.500000000000007</v>
      </c>
      <c r="K49" s="148">
        <f t="shared" si="0"/>
        <v>10.000000000000014</v>
      </c>
      <c r="L49" s="148">
        <f t="shared" si="0"/>
        <v>10.000000000000014</v>
      </c>
      <c r="M49" s="148">
        <f t="shared" si="0"/>
        <v>10.000000000000014</v>
      </c>
      <c r="N49" s="148"/>
      <c r="O49" s="148" t="s">
        <v>112</v>
      </c>
      <c r="P49" s="135" t="s">
        <v>1047</v>
      </c>
    </row>
    <row r="50" spans="1:16" ht="39" customHeight="1" x14ac:dyDescent="0.25">
      <c r="A50" s="145" t="s">
        <v>523</v>
      </c>
      <c r="B50" s="146" t="s">
        <v>524</v>
      </c>
      <c r="C50" s="147">
        <v>300</v>
      </c>
      <c r="D50" s="147">
        <v>150</v>
      </c>
      <c r="E50" s="147">
        <v>90</v>
      </c>
      <c r="F50" s="145" t="s">
        <v>523</v>
      </c>
      <c r="G50" s="146" t="s">
        <v>524</v>
      </c>
      <c r="H50" s="266">
        <f>300*1.1</f>
        <v>330</v>
      </c>
      <c r="I50" s="266">
        <f>150*1.1</f>
        <v>165</v>
      </c>
      <c r="J50" s="266">
        <f>90*1.1</f>
        <v>99.000000000000014</v>
      </c>
      <c r="K50" s="148">
        <f t="shared" si="0"/>
        <v>10.000000000000014</v>
      </c>
      <c r="L50" s="148">
        <f t="shared" si="0"/>
        <v>10.000000000000014</v>
      </c>
      <c r="M50" s="148">
        <f t="shared" si="0"/>
        <v>10.000000000000014</v>
      </c>
      <c r="N50" s="148"/>
      <c r="O50" s="148" t="s">
        <v>112</v>
      </c>
      <c r="P50" s="135"/>
    </row>
    <row r="51" spans="1:16" s="26" customFormat="1" x14ac:dyDescent="0.25">
      <c r="A51" s="139">
        <v>4</v>
      </c>
      <c r="B51" s="143" t="s">
        <v>525</v>
      </c>
      <c r="C51" s="154"/>
      <c r="D51" s="154"/>
      <c r="E51" s="154"/>
      <c r="F51" s="139">
        <v>4</v>
      </c>
      <c r="G51" s="143" t="s">
        <v>525</v>
      </c>
      <c r="H51" s="268"/>
      <c r="I51" s="269"/>
      <c r="J51" s="269"/>
      <c r="K51" s="148"/>
      <c r="L51" s="148"/>
      <c r="M51" s="148"/>
      <c r="N51" s="139"/>
      <c r="O51" s="144"/>
      <c r="P51" s="140"/>
    </row>
    <row r="52" spans="1:16" ht="54.75" customHeight="1" x14ac:dyDescent="0.25">
      <c r="A52" s="150" t="s">
        <v>17</v>
      </c>
      <c r="B52" s="146" t="s">
        <v>526</v>
      </c>
      <c r="C52" s="147"/>
      <c r="D52" s="147"/>
      <c r="E52" s="147"/>
      <c r="F52" s="150" t="s">
        <v>17</v>
      </c>
      <c r="G52" s="146" t="s">
        <v>526</v>
      </c>
      <c r="H52" s="266"/>
      <c r="I52" s="267"/>
      <c r="J52" s="267"/>
      <c r="K52" s="148"/>
      <c r="L52" s="148"/>
      <c r="M52" s="148"/>
      <c r="N52" s="150"/>
      <c r="O52" s="142"/>
      <c r="P52" s="135"/>
    </row>
    <row r="53" spans="1:16" ht="54.75" customHeight="1" x14ac:dyDescent="0.25">
      <c r="A53" s="150" t="s">
        <v>527</v>
      </c>
      <c r="B53" s="146" t="s">
        <v>528</v>
      </c>
      <c r="C53" s="147">
        <v>1500</v>
      </c>
      <c r="D53" s="147">
        <v>750</v>
      </c>
      <c r="E53" s="147">
        <v>450</v>
      </c>
      <c r="F53" s="148" t="s">
        <v>527</v>
      </c>
      <c r="G53" s="146" t="s">
        <v>528</v>
      </c>
      <c r="H53" s="270">
        <v>2944</v>
      </c>
      <c r="I53" s="266">
        <f>2944*50%</f>
        <v>1472</v>
      </c>
      <c r="J53" s="266">
        <f>2944*30%</f>
        <v>883.19999999999993</v>
      </c>
      <c r="K53" s="148">
        <f t="shared" si="0"/>
        <v>96.266666666666652</v>
      </c>
      <c r="L53" s="148">
        <f t="shared" si="0"/>
        <v>96.266666666666652</v>
      </c>
      <c r="M53" s="148">
        <f t="shared" si="0"/>
        <v>96.266666666666652</v>
      </c>
      <c r="N53" s="148" t="s">
        <v>529</v>
      </c>
      <c r="O53" s="155"/>
      <c r="P53" s="135"/>
    </row>
    <row r="54" spans="1:16" ht="54.75" customHeight="1" x14ac:dyDescent="0.25">
      <c r="A54" s="150" t="s">
        <v>530</v>
      </c>
      <c r="B54" s="146" t="s">
        <v>531</v>
      </c>
      <c r="C54" s="147">
        <v>2700</v>
      </c>
      <c r="D54" s="147">
        <v>1350</v>
      </c>
      <c r="E54" s="147">
        <v>810</v>
      </c>
      <c r="F54" s="150" t="s">
        <v>530</v>
      </c>
      <c r="G54" s="146" t="s">
        <v>532</v>
      </c>
      <c r="H54" s="266">
        <v>3781</v>
      </c>
      <c r="I54" s="266">
        <f>3781*50%</f>
        <v>1890.5</v>
      </c>
      <c r="J54" s="266">
        <f>3781*30%</f>
        <v>1134.3</v>
      </c>
      <c r="K54" s="148">
        <f t="shared" si="0"/>
        <v>40.037037037037038</v>
      </c>
      <c r="L54" s="148">
        <f t="shared" si="0"/>
        <v>40.037037037037038</v>
      </c>
      <c r="M54" s="148">
        <f t="shared" si="0"/>
        <v>40.037037037037038</v>
      </c>
      <c r="N54" s="148" t="s">
        <v>529</v>
      </c>
      <c r="O54" s="155"/>
      <c r="P54" s="135"/>
    </row>
    <row r="55" spans="1:16" ht="54.75" customHeight="1" x14ac:dyDescent="0.25">
      <c r="A55" s="150" t="s">
        <v>533</v>
      </c>
      <c r="B55" s="146" t="s">
        <v>534</v>
      </c>
      <c r="C55" s="147">
        <v>5000</v>
      </c>
      <c r="D55" s="147">
        <v>2500</v>
      </c>
      <c r="E55" s="147">
        <v>1500</v>
      </c>
      <c r="F55" s="148" t="s">
        <v>533</v>
      </c>
      <c r="G55" s="146" t="s">
        <v>997</v>
      </c>
      <c r="H55" s="266">
        <f>5000*1.1</f>
        <v>5500</v>
      </c>
      <c r="I55" s="266">
        <f>2500*1.1</f>
        <v>2750</v>
      </c>
      <c r="J55" s="266">
        <f>1500*1.1</f>
        <v>1650.0000000000002</v>
      </c>
      <c r="K55" s="148">
        <f t="shared" si="0"/>
        <v>10.000000000000014</v>
      </c>
      <c r="L55" s="148">
        <f t="shared" si="0"/>
        <v>10.000000000000014</v>
      </c>
      <c r="M55" s="148">
        <f t="shared" si="0"/>
        <v>10.000000000000014</v>
      </c>
      <c r="N55" s="142" t="s">
        <v>535</v>
      </c>
      <c r="O55" s="148" t="s">
        <v>112</v>
      </c>
      <c r="P55" s="135"/>
    </row>
    <row r="56" spans="1:16" ht="21.75" customHeight="1" x14ac:dyDescent="0.25">
      <c r="A56" s="145" t="s">
        <v>536</v>
      </c>
      <c r="B56" s="146" t="s">
        <v>537</v>
      </c>
      <c r="C56" s="147">
        <v>2500</v>
      </c>
      <c r="D56" s="147">
        <v>1250</v>
      </c>
      <c r="E56" s="147">
        <v>750</v>
      </c>
      <c r="F56" s="145" t="s">
        <v>536</v>
      </c>
      <c r="G56" s="146" t="s">
        <v>537</v>
      </c>
      <c r="H56" s="266">
        <f>2500*1.1</f>
        <v>2750</v>
      </c>
      <c r="I56" s="266">
        <f>1250*1.1</f>
        <v>1375</v>
      </c>
      <c r="J56" s="266">
        <f>750*1.1</f>
        <v>825.00000000000011</v>
      </c>
      <c r="K56" s="148">
        <f t="shared" si="0"/>
        <v>10.000000000000014</v>
      </c>
      <c r="L56" s="148">
        <f t="shared" si="0"/>
        <v>10.000000000000014</v>
      </c>
      <c r="M56" s="148">
        <f t="shared" si="0"/>
        <v>10.000000000000014</v>
      </c>
      <c r="N56" s="148"/>
      <c r="O56" s="148" t="s">
        <v>112</v>
      </c>
      <c r="P56" s="135"/>
    </row>
    <row r="57" spans="1:16" ht="33" x14ac:dyDescent="0.25">
      <c r="A57" s="145" t="s">
        <v>538</v>
      </c>
      <c r="B57" s="146" t="s">
        <v>539</v>
      </c>
      <c r="C57" s="147">
        <v>2000</v>
      </c>
      <c r="D57" s="147">
        <v>1000</v>
      </c>
      <c r="E57" s="147">
        <v>600</v>
      </c>
      <c r="F57" s="148" t="s">
        <v>538</v>
      </c>
      <c r="G57" s="146" t="s">
        <v>540</v>
      </c>
      <c r="H57" s="266">
        <f>2000*1.1</f>
        <v>2200</v>
      </c>
      <c r="I57" s="266">
        <f>1000*1.1</f>
        <v>1100</v>
      </c>
      <c r="J57" s="266">
        <f>600*1.1</f>
        <v>660</v>
      </c>
      <c r="K57" s="148">
        <f t="shared" si="0"/>
        <v>10.000000000000014</v>
      </c>
      <c r="L57" s="148">
        <f t="shared" si="0"/>
        <v>10.000000000000014</v>
      </c>
      <c r="M57" s="148">
        <f t="shared" si="0"/>
        <v>10.000000000000014</v>
      </c>
      <c r="N57" s="142" t="s">
        <v>541</v>
      </c>
      <c r="O57" s="148" t="s">
        <v>112</v>
      </c>
      <c r="P57" s="135"/>
    </row>
    <row r="58" spans="1:16" ht="64.5" customHeight="1" x14ac:dyDescent="0.25">
      <c r="A58" s="150" t="s">
        <v>20</v>
      </c>
      <c r="B58" s="146" t="s">
        <v>542</v>
      </c>
      <c r="C58" s="147"/>
      <c r="D58" s="147"/>
      <c r="E58" s="147"/>
      <c r="F58" s="150" t="s">
        <v>20</v>
      </c>
      <c r="G58" s="146" t="s">
        <v>542</v>
      </c>
      <c r="H58" s="266"/>
      <c r="I58" s="266"/>
      <c r="J58" s="266"/>
      <c r="K58" s="148"/>
      <c r="L58" s="148"/>
      <c r="M58" s="148"/>
      <c r="N58" s="148"/>
      <c r="O58" s="142"/>
      <c r="P58" s="135"/>
    </row>
    <row r="59" spans="1:16" ht="74.25" customHeight="1" x14ac:dyDescent="0.25">
      <c r="A59" s="150" t="s">
        <v>543</v>
      </c>
      <c r="B59" s="146" t="s">
        <v>544</v>
      </c>
      <c r="C59" s="147">
        <v>800</v>
      </c>
      <c r="D59" s="147">
        <v>400</v>
      </c>
      <c r="E59" s="147">
        <v>240</v>
      </c>
      <c r="F59" s="148" t="s">
        <v>543</v>
      </c>
      <c r="G59" s="146" t="s">
        <v>998</v>
      </c>
      <c r="H59" s="266">
        <f>800*1.1</f>
        <v>880.00000000000011</v>
      </c>
      <c r="I59" s="266">
        <f>400*1.1</f>
        <v>440.00000000000006</v>
      </c>
      <c r="J59" s="266">
        <f>240*1.1</f>
        <v>264</v>
      </c>
      <c r="K59" s="148">
        <f t="shared" si="0"/>
        <v>10.000000000000014</v>
      </c>
      <c r="L59" s="148">
        <f t="shared" si="0"/>
        <v>10.000000000000014</v>
      </c>
      <c r="M59" s="148">
        <f t="shared" si="0"/>
        <v>10.000000000000014</v>
      </c>
      <c r="N59" s="142" t="s">
        <v>541</v>
      </c>
      <c r="O59" s="148" t="s">
        <v>112</v>
      </c>
      <c r="P59" s="135" t="s">
        <v>1048</v>
      </c>
    </row>
    <row r="60" spans="1:16" ht="77.25" customHeight="1" x14ac:dyDescent="0.25">
      <c r="A60" s="150" t="s">
        <v>545</v>
      </c>
      <c r="B60" s="146" t="s">
        <v>546</v>
      </c>
      <c r="C60" s="147">
        <v>700</v>
      </c>
      <c r="D60" s="147">
        <v>350</v>
      </c>
      <c r="E60" s="147">
        <v>210</v>
      </c>
      <c r="F60" s="148" t="s">
        <v>545</v>
      </c>
      <c r="G60" s="146" t="s">
        <v>999</v>
      </c>
      <c r="H60" s="266">
        <f>700*1.1</f>
        <v>770.00000000000011</v>
      </c>
      <c r="I60" s="266">
        <f>350*1.1</f>
        <v>385.00000000000006</v>
      </c>
      <c r="J60" s="266">
        <f>210*1.1</f>
        <v>231.00000000000003</v>
      </c>
      <c r="K60" s="148">
        <f t="shared" si="0"/>
        <v>10.000000000000014</v>
      </c>
      <c r="L60" s="148">
        <f t="shared" si="0"/>
        <v>10.000000000000014</v>
      </c>
      <c r="M60" s="148">
        <f t="shared" si="0"/>
        <v>10.000000000000014</v>
      </c>
      <c r="N60" s="142" t="s">
        <v>541</v>
      </c>
      <c r="O60" s="148" t="s">
        <v>112</v>
      </c>
      <c r="P60" s="135" t="s">
        <v>1048</v>
      </c>
    </row>
    <row r="61" spans="1:16" ht="51" customHeight="1" x14ac:dyDescent="0.25">
      <c r="A61" s="145" t="s">
        <v>547</v>
      </c>
      <c r="B61" s="146" t="s">
        <v>548</v>
      </c>
      <c r="C61" s="147">
        <v>600</v>
      </c>
      <c r="D61" s="147">
        <v>300</v>
      </c>
      <c r="E61" s="147">
        <v>180</v>
      </c>
      <c r="F61" s="145" t="s">
        <v>547</v>
      </c>
      <c r="G61" s="146" t="s">
        <v>548</v>
      </c>
      <c r="H61" s="266">
        <f>600*1.1</f>
        <v>660</v>
      </c>
      <c r="I61" s="266">
        <f>300*1.1</f>
        <v>330</v>
      </c>
      <c r="J61" s="266">
        <f>180*1.1</f>
        <v>198.00000000000003</v>
      </c>
      <c r="K61" s="148">
        <f t="shared" si="0"/>
        <v>10.000000000000014</v>
      </c>
      <c r="L61" s="148">
        <f t="shared" si="0"/>
        <v>10.000000000000014</v>
      </c>
      <c r="M61" s="148">
        <f t="shared" si="0"/>
        <v>10.000000000000014</v>
      </c>
      <c r="N61" s="148"/>
      <c r="O61" s="148" t="s">
        <v>112</v>
      </c>
      <c r="P61" s="135" t="s">
        <v>1048</v>
      </c>
    </row>
    <row r="62" spans="1:16" ht="71.25" customHeight="1" x14ac:dyDescent="0.25">
      <c r="A62" s="150" t="s">
        <v>57</v>
      </c>
      <c r="B62" s="146" t="s">
        <v>549</v>
      </c>
      <c r="C62" s="147">
        <v>900</v>
      </c>
      <c r="D62" s="147">
        <v>450</v>
      </c>
      <c r="E62" s="147">
        <v>270</v>
      </c>
      <c r="F62" s="150" t="s">
        <v>57</v>
      </c>
      <c r="G62" s="146" t="s">
        <v>1000</v>
      </c>
      <c r="H62" s="266">
        <f>900*1.1</f>
        <v>990.00000000000011</v>
      </c>
      <c r="I62" s="266">
        <f>450*1.1</f>
        <v>495.00000000000006</v>
      </c>
      <c r="J62" s="266">
        <f>270*1.1</f>
        <v>297</v>
      </c>
      <c r="K62" s="148">
        <f t="shared" si="0"/>
        <v>10.000000000000014</v>
      </c>
      <c r="L62" s="148">
        <f t="shared" si="0"/>
        <v>10.000000000000014</v>
      </c>
      <c r="M62" s="148">
        <f t="shared" si="0"/>
        <v>10.000000000000014</v>
      </c>
      <c r="N62" s="142" t="s">
        <v>541</v>
      </c>
      <c r="O62" s="148" t="s">
        <v>112</v>
      </c>
      <c r="P62" s="135" t="s">
        <v>1049</v>
      </c>
    </row>
    <row r="63" spans="1:16" ht="49.5" x14ac:dyDescent="0.25">
      <c r="A63" s="150"/>
      <c r="B63" s="146"/>
      <c r="C63" s="147"/>
      <c r="D63" s="147"/>
      <c r="E63" s="147"/>
      <c r="F63" s="150" t="s">
        <v>59</v>
      </c>
      <c r="G63" s="146" t="s">
        <v>550</v>
      </c>
      <c r="H63" s="266">
        <v>800</v>
      </c>
      <c r="I63" s="266">
        <f>H63/2</f>
        <v>400</v>
      </c>
      <c r="J63" s="266">
        <f>H63/3.33</f>
        <v>240.24024024024024</v>
      </c>
      <c r="K63" s="148"/>
      <c r="L63" s="148"/>
      <c r="M63" s="148"/>
      <c r="N63" s="148"/>
      <c r="O63" s="142"/>
      <c r="P63" s="135"/>
    </row>
    <row r="64" spans="1:16" ht="44.25" customHeight="1" x14ac:dyDescent="0.25">
      <c r="A64" s="150" t="s">
        <v>59</v>
      </c>
      <c r="B64" s="146" t="s">
        <v>551</v>
      </c>
      <c r="C64" s="147">
        <v>800</v>
      </c>
      <c r="D64" s="147">
        <v>400</v>
      </c>
      <c r="E64" s="147">
        <v>240</v>
      </c>
      <c r="F64" s="150" t="s">
        <v>60</v>
      </c>
      <c r="G64" s="146" t="s">
        <v>551</v>
      </c>
      <c r="H64" s="266">
        <f>800*1.1</f>
        <v>880.00000000000011</v>
      </c>
      <c r="I64" s="266">
        <f>400*1.1</f>
        <v>440.00000000000006</v>
      </c>
      <c r="J64" s="266">
        <f>240*1.1</f>
        <v>264</v>
      </c>
      <c r="K64" s="148">
        <f t="shared" si="0"/>
        <v>10.000000000000014</v>
      </c>
      <c r="L64" s="148">
        <f t="shared" si="0"/>
        <v>10.000000000000014</v>
      </c>
      <c r="M64" s="148">
        <f t="shared" si="0"/>
        <v>10.000000000000014</v>
      </c>
      <c r="N64" s="148"/>
      <c r="O64" s="148" t="s">
        <v>112</v>
      </c>
      <c r="P64" s="135" t="s">
        <v>1048</v>
      </c>
    </row>
    <row r="65" spans="1:16" ht="56.25" customHeight="1" x14ac:dyDescent="0.25">
      <c r="A65" s="150" t="s">
        <v>60</v>
      </c>
      <c r="B65" s="90" t="s">
        <v>552</v>
      </c>
      <c r="C65" s="147">
        <v>800</v>
      </c>
      <c r="D65" s="147">
        <v>400</v>
      </c>
      <c r="E65" s="147">
        <v>240</v>
      </c>
      <c r="F65" s="150" t="s">
        <v>61</v>
      </c>
      <c r="G65" s="146" t="s">
        <v>553</v>
      </c>
      <c r="H65" s="266">
        <f>800*1.1</f>
        <v>880.00000000000011</v>
      </c>
      <c r="I65" s="266">
        <f>400*1.1</f>
        <v>440.00000000000006</v>
      </c>
      <c r="J65" s="266">
        <f>240*1.1</f>
        <v>264</v>
      </c>
      <c r="K65" s="148">
        <f t="shared" si="0"/>
        <v>10.000000000000014</v>
      </c>
      <c r="L65" s="148">
        <f t="shared" si="0"/>
        <v>10.000000000000014</v>
      </c>
      <c r="M65" s="148">
        <f t="shared" si="0"/>
        <v>10.000000000000014</v>
      </c>
      <c r="N65" s="142" t="s">
        <v>541</v>
      </c>
      <c r="O65" s="148" t="s">
        <v>112</v>
      </c>
      <c r="P65" s="135" t="s">
        <v>1050</v>
      </c>
    </row>
    <row r="66" spans="1:16" ht="40.5" customHeight="1" x14ac:dyDescent="0.25">
      <c r="A66" s="145" t="s">
        <v>61</v>
      </c>
      <c r="B66" s="146" t="s">
        <v>554</v>
      </c>
      <c r="C66" s="147">
        <v>1000</v>
      </c>
      <c r="D66" s="147">
        <v>500</v>
      </c>
      <c r="E66" s="147">
        <v>300</v>
      </c>
      <c r="F66" s="145" t="s">
        <v>63</v>
      </c>
      <c r="G66" s="146" t="s">
        <v>554</v>
      </c>
      <c r="H66" s="266">
        <f>1000*1.1</f>
        <v>1100</v>
      </c>
      <c r="I66" s="266">
        <f>500*1.1</f>
        <v>550</v>
      </c>
      <c r="J66" s="266">
        <f>300*1.1</f>
        <v>330</v>
      </c>
      <c r="K66" s="148">
        <f t="shared" si="0"/>
        <v>10.000000000000014</v>
      </c>
      <c r="L66" s="148">
        <f t="shared" si="0"/>
        <v>10.000000000000014</v>
      </c>
      <c r="M66" s="148">
        <f t="shared" si="0"/>
        <v>10.000000000000014</v>
      </c>
      <c r="N66" s="148"/>
      <c r="O66" s="148" t="s">
        <v>112</v>
      </c>
      <c r="P66" s="135" t="s">
        <v>1051</v>
      </c>
    </row>
    <row r="67" spans="1:16" ht="42" customHeight="1" x14ac:dyDescent="0.25">
      <c r="A67" s="145" t="s">
        <v>63</v>
      </c>
      <c r="B67" s="146" t="s">
        <v>555</v>
      </c>
      <c r="C67" s="147">
        <v>900</v>
      </c>
      <c r="D67" s="147">
        <v>450</v>
      </c>
      <c r="E67" s="147">
        <v>270</v>
      </c>
      <c r="F67" s="145" t="s">
        <v>162</v>
      </c>
      <c r="G67" s="146" t="s">
        <v>555</v>
      </c>
      <c r="H67" s="266">
        <f>900*1.1</f>
        <v>990.00000000000011</v>
      </c>
      <c r="I67" s="266">
        <f>450*1.1</f>
        <v>495.00000000000006</v>
      </c>
      <c r="J67" s="266">
        <f>270*1.1</f>
        <v>297</v>
      </c>
      <c r="K67" s="148">
        <f t="shared" si="0"/>
        <v>10.000000000000014</v>
      </c>
      <c r="L67" s="148">
        <f t="shared" si="0"/>
        <v>10.000000000000014</v>
      </c>
      <c r="M67" s="148">
        <f t="shared" si="0"/>
        <v>10.000000000000014</v>
      </c>
      <c r="N67" s="148"/>
      <c r="O67" s="148" t="s">
        <v>112</v>
      </c>
      <c r="P67" s="135" t="s">
        <v>1051</v>
      </c>
    </row>
    <row r="68" spans="1:16" ht="42" customHeight="1" x14ac:dyDescent="0.25">
      <c r="A68" s="145" t="s">
        <v>162</v>
      </c>
      <c r="B68" s="146" t="s">
        <v>556</v>
      </c>
      <c r="C68" s="147">
        <v>800</v>
      </c>
      <c r="D68" s="147">
        <v>400</v>
      </c>
      <c r="E68" s="147">
        <v>240</v>
      </c>
      <c r="F68" s="145" t="s">
        <v>164</v>
      </c>
      <c r="G68" s="146" t="s">
        <v>556</v>
      </c>
      <c r="H68" s="266">
        <f>800*1.1</f>
        <v>880.00000000000011</v>
      </c>
      <c r="I68" s="266">
        <f>400*1.1</f>
        <v>440.00000000000006</v>
      </c>
      <c r="J68" s="266">
        <f>240*1.1</f>
        <v>264</v>
      </c>
      <c r="K68" s="148">
        <f t="shared" si="0"/>
        <v>10.000000000000014</v>
      </c>
      <c r="L68" s="148">
        <f t="shared" si="0"/>
        <v>10.000000000000014</v>
      </c>
      <c r="M68" s="148">
        <f t="shared" si="0"/>
        <v>10.000000000000014</v>
      </c>
      <c r="N68" s="148"/>
      <c r="O68" s="148" t="s">
        <v>112</v>
      </c>
      <c r="P68" s="135" t="s">
        <v>1050</v>
      </c>
    </row>
    <row r="69" spans="1:16" ht="42" customHeight="1" x14ac:dyDescent="0.25">
      <c r="A69" s="145" t="s">
        <v>164</v>
      </c>
      <c r="B69" s="146" t="s">
        <v>557</v>
      </c>
      <c r="C69" s="147">
        <v>700</v>
      </c>
      <c r="D69" s="147">
        <v>350</v>
      </c>
      <c r="E69" s="147">
        <v>210</v>
      </c>
      <c r="F69" s="156" t="s">
        <v>558</v>
      </c>
      <c r="G69" s="146" t="s">
        <v>557</v>
      </c>
      <c r="H69" s="266">
        <f>700*1.1</f>
        <v>770.00000000000011</v>
      </c>
      <c r="I69" s="266">
        <f>350*1.1</f>
        <v>385.00000000000006</v>
      </c>
      <c r="J69" s="266">
        <f>210*1.1</f>
        <v>231.00000000000003</v>
      </c>
      <c r="K69" s="148">
        <f t="shared" si="0"/>
        <v>10.000000000000014</v>
      </c>
      <c r="L69" s="148">
        <f t="shared" si="0"/>
        <v>10.000000000000014</v>
      </c>
      <c r="M69" s="148">
        <f t="shared" si="0"/>
        <v>10.000000000000014</v>
      </c>
      <c r="N69" s="148"/>
      <c r="O69" s="148" t="s">
        <v>112</v>
      </c>
      <c r="P69" s="135" t="s">
        <v>1050</v>
      </c>
    </row>
    <row r="70" spans="1:16" ht="42" customHeight="1" x14ac:dyDescent="0.25">
      <c r="A70" s="145" t="s">
        <v>558</v>
      </c>
      <c r="B70" s="146" t="s">
        <v>559</v>
      </c>
      <c r="C70" s="147">
        <v>800</v>
      </c>
      <c r="D70" s="147">
        <v>400</v>
      </c>
      <c r="E70" s="147">
        <v>240</v>
      </c>
      <c r="F70" s="145" t="s">
        <v>560</v>
      </c>
      <c r="G70" s="146" t="s">
        <v>559</v>
      </c>
      <c r="H70" s="266">
        <f>800*1.1</f>
        <v>880.00000000000011</v>
      </c>
      <c r="I70" s="266">
        <f>400*1.1</f>
        <v>440.00000000000006</v>
      </c>
      <c r="J70" s="266">
        <f>240*1.1</f>
        <v>264</v>
      </c>
      <c r="K70" s="148">
        <f t="shared" si="0"/>
        <v>10.000000000000014</v>
      </c>
      <c r="L70" s="148">
        <f t="shared" si="0"/>
        <v>10.000000000000014</v>
      </c>
      <c r="M70" s="148">
        <f t="shared" si="0"/>
        <v>10.000000000000014</v>
      </c>
      <c r="N70" s="148"/>
      <c r="O70" s="148" t="s">
        <v>112</v>
      </c>
      <c r="P70" s="135" t="s">
        <v>1050</v>
      </c>
    </row>
    <row r="71" spans="1:16" ht="42" customHeight="1" x14ac:dyDescent="0.25">
      <c r="A71" s="145" t="s">
        <v>560</v>
      </c>
      <c r="B71" s="146" t="s">
        <v>561</v>
      </c>
      <c r="C71" s="147">
        <v>700</v>
      </c>
      <c r="D71" s="147">
        <v>350</v>
      </c>
      <c r="E71" s="147">
        <v>210</v>
      </c>
      <c r="F71" s="145" t="s">
        <v>562</v>
      </c>
      <c r="G71" s="146" t="s">
        <v>561</v>
      </c>
      <c r="H71" s="266">
        <f>700*1.1</f>
        <v>770.00000000000011</v>
      </c>
      <c r="I71" s="266">
        <f>350*1.1</f>
        <v>385.00000000000006</v>
      </c>
      <c r="J71" s="266">
        <f>210*1.1</f>
        <v>231.00000000000003</v>
      </c>
      <c r="K71" s="148">
        <f t="shared" si="0"/>
        <v>10.000000000000014</v>
      </c>
      <c r="L71" s="148">
        <f t="shared" si="0"/>
        <v>10.000000000000014</v>
      </c>
      <c r="M71" s="148">
        <f t="shared" si="0"/>
        <v>10.000000000000014</v>
      </c>
      <c r="N71" s="148"/>
      <c r="O71" s="148" t="s">
        <v>112</v>
      </c>
      <c r="P71" s="135" t="s">
        <v>1050</v>
      </c>
    </row>
    <row r="72" spans="1:16" ht="42" customHeight="1" x14ac:dyDescent="0.25">
      <c r="A72" s="145" t="s">
        <v>562</v>
      </c>
      <c r="B72" s="146" t="s">
        <v>563</v>
      </c>
      <c r="C72" s="147">
        <v>700</v>
      </c>
      <c r="D72" s="147">
        <v>350</v>
      </c>
      <c r="E72" s="147">
        <v>210</v>
      </c>
      <c r="F72" s="145" t="s">
        <v>564</v>
      </c>
      <c r="G72" s="146" t="s">
        <v>563</v>
      </c>
      <c r="H72" s="266">
        <f>700*1.1</f>
        <v>770.00000000000011</v>
      </c>
      <c r="I72" s="266">
        <f>350*1.1</f>
        <v>385.00000000000006</v>
      </c>
      <c r="J72" s="266">
        <f>210*1.1</f>
        <v>231.00000000000003</v>
      </c>
      <c r="K72" s="148">
        <f t="shared" ref="K72:M126" si="1">(H72/C72)*100-100</f>
        <v>10.000000000000014</v>
      </c>
      <c r="L72" s="148">
        <f t="shared" si="1"/>
        <v>10.000000000000014</v>
      </c>
      <c r="M72" s="148">
        <f t="shared" si="1"/>
        <v>10.000000000000014</v>
      </c>
      <c r="N72" s="148"/>
      <c r="O72" s="148" t="s">
        <v>112</v>
      </c>
      <c r="P72" s="135" t="s">
        <v>1049</v>
      </c>
    </row>
    <row r="73" spans="1:16" ht="36.75" customHeight="1" x14ac:dyDescent="0.25">
      <c r="A73" s="145" t="s">
        <v>564</v>
      </c>
      <c r="B73" s="146" t="s">
        <v>565</v>
      </c>
      <c r="C73" s="147">
        <v>800</v>
      </c>
      <c r="D73" s="147">
        <v>400</v>
      </c>
      <c r="E73" s="147">
        <v>240</v>
      </c>
      <c r="F73" s="145" t="s">
        <v>566</v>
      </c>
      <c r="G73" s="146" t="s">
        <v>565</v>
      </c>
      <c r="H73" s="266">
        <f>800*1.1</f>
        <v>880.00000000000011</v>
      </c>
      <c r="I73" s="266">
        <f>400*1.1</f>
        <v>440.00000000000006</v>
      </c>
      <c r="J73" s="266">
        <f>240*1.1</f>
        <v>264</v>
      </c>
      <c r="K73" s="148">
        <f t="shared" si="1"/>
        <v>10.000000000000014</v>
      </c>
      <c r="L73" s="148">
        <f t="shared" si="1"/>
        <v>10.000000000000014</v>
      </c>
      <c r="M73" s="148">
        <f t="shared" si="1"/>
        <v>10.000000000000014</v>
      </c>
      <c r="N73" s="148"/>
      <c r="O73" s="148" t="s">
        <v>112</v>
      </c>
      <c r="P73" s="135" t="s">
        <v>1052</v>
      </c>
    </row>
    <row r="74" spans="1:16" x14ac:dyDescent="0.25">
      <c r="A74" s="150" t="s">
        <v>566</v>
      </c>
      <c r="B74" s="146" t="s">
        <v>474</v>
      </c>
      <c r="C74" s="147"/>
      <c r="D74" s="147"/>
      <c r="E74" s="147"/>
      <c r="F74" s="150" t="s">
        <v>568</v>
      </c>
      <c r="G74" s="146" t="s">
        <v>474</v>
      </c>
      <c r="H74" s="266"/>
      <c r="I74" s="267"/>
      <c r="J74" s="267"/>
      <c r="K74" s="148"/>
      <c r="L74" s="148"/>
      <c r="M74" s="148"/>
      <c r="N74" s="150"/>
      <c r="O74" s="142"/>
      <c r="P74" s="135"/>
    </row>
    <row r="75" spans="1:16" x14ac:dyDescent="0.25">
      <c r="A75" s="150" t="s">
        <v>567</v>
      </c>
      <c r="B75" s="146" t="s">
        <v>476</v>
      </c>
      <c r="C75" s="147">
        <v>140</v>
      </c>
      <c r="D75" s="147">
        <v>70</v>
      </c>
      <c r="E75" s="147">
        <v>56</v>
      </c>
      <c r="F75" s="150" t="s">
        <v>567</v>
      </c>
      <c r="G75" s="146" t="s">
        <v>476</v>
      </c>
      <c r="H75" s="266">
        <f>140*1.1</f>
        <v>154</v>
      </c>
      <c r="I75" s="266">
        <f>70*1.1</f>
        <v>77</v>
      </c>
      <c r="J75" s="266">
        <f>56*1.1</f>
        <v>61.600000000000009</v>
      </c>
      <c r="K75" s="148">
        <f t="shared" si="1"/>
        <v>10.000000000000014</v>
      </c>
      <c r="L75" s="148">
        <f t="shared" si="1"/>
        <v>10.000000000000014</v>
      </c>
      <c r="M75" s="148">
        <f t="shared" si="1"/>
        <v>10.000000000000014</v>
      </c>
      <c r="N75" s="148"/>
      <c r="O75" s="148" t="s">
        <v>112</v>
      </c>
      <c r="P75" s="135" t="s">
        <v>1053</v>
      </c>
    </row>
    <row r="76" spans="1:16" x14ac:dyDescent="0.25">
      <c r="A76" s="150" t="s">
        <v>567</v>
      </c>
      <c r="B76" s="146" t="s">
        <v>479</v>
      </c>
      <c r="C76" s="147">
        <v>120</v>
      </c>
      <c r="D76" s="147">
        <v>60</v>
      </c>
      <c r="E76" s="147">
        <v>36</v>
      </c>
      <c r="F76" s="150" t="s">
        <v>567</v>
      </c>
      <c r="G76" s="146" t="s">
        <v>479</v>
      </c>
      <c r="H76" s="266">
        <f>120*1.1</f>
        <v>132</v>
      </c>
      <c r="I76" s="266">
        <f>60*1.1</f>
        <v>66</v>
      </c>
      <c r="J76" s="266">
        <f>36*1.1</f>
        <v>39.6</v>
      </c>
      <c r="K76" s="148">
        <f t="shared" si="1"/>
        <v>10.000000000000014</v>
      </c>
      <c r="L76" s="148">
        <f t="shared" si="1"/>
        <v>10.000000000000014</v>
      </c>
      <c r="M76" s="148">
        <f t="shared" si="1"/>
        <v>10.000000000000014</v>
      </c>
      <c r="N76" s="148"/>
      <c r="O76" s="148" t="s">
        <v>112</v>
      </c>
      <c r="P76" s="135"/>
    </row>
    <row r="77" spans="1:16" x14ac:dyDescent="0.25">
      <c r="A77" s="150" t="s">
        <v>568</v>
      </c>
      <c r="B77" s="146" t="s">
        <v>481</v>
      </c>
      <c r="C77" s="147"/>
      <c r="D77" s="147"/>
      <c r="E77" s="147"/>
      <c r="F77" s="150" t="s">
        <v>1003</v>
      </c>
      <c r="G77" s="146" t="s">
        <v>481</v>
      </c>
      <c r="H77" s="266"/>
      <c r="I77" s="267"/>
      <c r="J77" s="267"/>
      <c r="K77" s="148"/>
      <c r="L77" s="148"/>
      <c r="M77" s="148"/>
      <c r="N77" s="150"/>
      <c r="O77" s="142"/>
      <c r="P77" s="135"/>
    </row>
    <row r="78" spans="1:16" x14ac:dyDescent="0.25">
      <c r="A78" s="150" t="s">
        <v>567</v>
      </c>
      <c r="B78" s="146" t="s">
        <v>483</v>
      </c>
      <c r="C78" s="147">
        <v>110</v>
      </c>
      <c r="D78" s="147">
        <v>55</v>
      </c>
      <c r="E78" s="147">
        <v>33</v>
      </c>
      <c r="F78" s="150" t="s">
        <v>567</v>
      </c>
      <c r="G78" s="146" t="s">
        <v>483</v>
      </c>
      <c r="H78" s="266">
        <f>110*1.1</f>
        <v>121.00000000000001</v>
      </c>
      <c r="I78" s="266">
        <f>55*1.1</f>
        <v>60.500000000000007</v>
      </c>
      <c r="J78" s="266">
        <f>33*1.1</f>
        <v>36.300000000000004</v>
      </c>
      <c r="K78" s="148">
        <f t="shared" si="1"/>
        <v>10.000000000000014</v>
      </c>
      <c r="L78" s="148">
        <f t="shared" si="1"/>
        <v>10.000000000000014</v>
      </c>
      <c r="M78" s="148">
        <f t="shared" si="1"/>
        <v>10.000000000000014</v>
      </c>
      <c r="N78" s="148"/>
      <c r="O78" s="148" t="s">
        <v>112</v>
      </c>
      <c r="P78" s="135"/>
    </row>
    <row r="79" spans="1:16" x14ac:dyDescent="0.25">
      <c r="A79" s="150" t="s">
        <v>567</v>
      </c>
      <c r="B79" s="146" t="s">
        <v>485</v>
      </c>
      <c r="C79" s="147">
        <v>90</v>
      </c>
      <c r="D79" s="147">
        <v>45</v>
      </c>
      <c r="E79" s="147">
        <v>27</v>
      </c>
      <c r="F79" s="150" t="s">
        <v>567</v>
      </c>
      <c r="G79" s="146" t="s">
        <v>485</v>
      </c>
      <c r="H79" s="266">
        <f>90*1.1</f>
        <v>99.000000000000014</v>
      </c>
      <c r="I79" s="266">
        <f>45*1.1</f>
        <v>49.500000000000007</v>
      </c>
      <c r="J79" s="266">
        <f>27*1.1</f>
        <v>29.700000000000003</v>
      </c>
      <c r="K79" s="148">
        <f t="shared" si="1"/>
        <v>10.000000000000014</v>
      </c>
      <c r="L79" s="148">
        <f t="shared" si="1"/>
        <v>10.000000000000014</v>
      </c>
      <c r="M79" s="148">
        <f t="shared" si="1"/>
        <v>10.000000000000014</v>
      </c>
      <c r="N79" s="148"/>
      <c r="O79" s="148" t="s">
        <v>112</v>
      </c>
      <c r="P79" s="135"/>
    </row>
    <row r="80" spans="1:16" s="26" customFormat="1" x14ac:dyDescent="0.25">
      <c r="A80" s="139">
        <v>5</v>
      </c>
      <c r="B80" s="143" t="s">
        <v>569</v>
      </c>
      <c r="C80" s="154"/>
      <c r="D80" s="154"/>
      <c r="E80" s="154"/>
      <c r="F80" s="139">
        <v>5</v>
      </c>
      <c r="G80" s="143" t="s">
        <v>569</v>
      </c>
      <c r="H80" s="268"/>
      <c r="I80" s="269"/>
      <c r="J80" s="269"/>
      <c r="K80" s="148"/>
      <c r="L80" s="148"/>
      <c r="M80" s="148"/>
      <c r="N80" s="139"/>
      <c r="O80" s="144"/>
      <c r="P80" s="140"/>
    </row>
    <row r="81" spans="1:16" ht="33" x14ac:dyDescent="0.25">
      <c r="A81" s="150" t="s">
        <v>66</v>
      </c>
      <c r="B81" s="146" t="s">
        <v>570</v>
      </c>
      <c r="C81" s="147">
        <v>180</v>
      </c>
      <c r="D81" s="147">
        <v>140</v>
      </c>
      <c r="E81" s="147">
        <v>62.999999999999993</v>
      </c>
      <c r="F81" s="150" t="s">
        <v>66</v>
      </c>
      <c r="G81" s="146" t="s">
        <v>570</v>
      </c>
      <c r="H81" s="266">
        <f>180*1.1</f>
        <v>198.00000000000003</v>
      </c>
      <c r="I81" s="266">
        <f>140*1.1</f>
        <v>154</v>
      </c>
      <c r="J81" s="266">
        <f>63*1.1</f>
        <v>69.300000000000011</v>
      </c>
      <c r="K81" s="148">
        <f t="shared" si="1"/>
        <v>10.000000000000014</v>
      </c>
      <c r="L81" s="148">
        <f t="shared" si="1"/>
        <v>10.000000000000014</v>
      </c>
      <c r="M81" s="148">
        <f t="shared" si="1"/>
        <v>10.000000000000028</v>
      </c>
      <c r="N81" s="148"/>
      <c r="O81" s="148" t="s">
        <v>112</v>
      </c>
      <c r="P81" s="135"/>
    </row>
    <row r="82" spans="1:16" x14ac:dyDescent="0.25">
      <c r="A82" s="150" t="s">
        <v>67</v>
      </c>
      <c r="B82" s="146" t="s">
        <v>571</v>
      </c>
      <c r="C82" s="147">
        <v>160</v>
      </c>
      <c r="D82" s="147">
        <v>112</v>
      </c>
      <c r="E82" s="147">
        <v>48</v>
      </c>
      <c r="F82" s="150" t="s">
        <v>67</v>
      </c>
      <c r="G82" s="146" t="s">
        <v>1001</v>
      </c>
      <c r="H82" s="266">
        <f>160*1.1</f>
        <v>176</v>
      </c>
      <c r="I82" s="266">
        <f>112*1.1</f>
        <v>123.20000000000002</v>
      </c>
      <c r="J82" s="266">
        <f>48*1.1</f>
        <v>52.800000000000004</v>
      </c>
      <c r="K82" s="148">
        <f t="shared" si="1"/>
        <v>10.000000000000014</v>
      </c>
      <c r="L82" s="148">
        <f t="shared" si="1"/>
        <v>10.000000000000014</v>
      </c>
      <c r="M82" s="148">
        <f t="shared" si="1"/>
        <v>10.000000000000014</v>
      </c>
      <c r="N82" s="148"/>
      <c r="O82" s="148" t="s">
        <v>112</v>
      </c>
      <c r="P82" s="135"/>
    </row>
    <row r="83" spans="1:16" x14ac:dyDescent="0.25">
      <c r="A83" s="145" t="s">
        <v>68</v>
      </c>
      <c r="B83" s="146" t="s">
        <v>572</v>
      </c>
      <c r="C83" s="147">
        <v>150</v>
      </c>
      <c r="D83" s="147">
        <v>112</v>
      </c>
      <c r="E83" s="147">
        <v>45</v>
      </c>
      <c r="F83" s="145" t="s">
        <v>68</v>
      </c>
      <c r="G83" s="146" t="s">
        <v>1002</v>
      </c>
      <c r="H83" s="266">
        <f>150*1.1</f>
        <v>165</v>
      </c>
      <c r="I83" s="266">
        <f>112*1.1</f>
        <v>123.20000000000002</v>
      </c>
      <c r="J83" s="266">
        <f>45*1.1</f>
        <v>49.500000000000007</v>
      </c>
      <c r="K83" s="148">
        <f t="shared" si="1"/>
        <v>10.000000000000014</v>
      </c>
      <c r="L83" s="148">
        <f t="shared" si="1"/>
        <v>10.000000000000014</v>
      </c>
      <c r="M83" s="148">
        <f t="shared" si="1"/>
        <v>10.000000000000014</v>
      </c>
      <c r="N83" s="148"/>
      <c r="O83" s="148" t="s">
        <v>112</v>
      </c>
      <c r="P83" s="135"/>
    </row>
    <row r="84" spans="1:16" ht="44.25" customHeight="1" x14ac:dyDescent="0.25">
      <c r="A84" s="150" t="s">
        <v>69</v>
      </c>
      <c r="B84" s="146" t="s">
        <v>573</v>
      </c>
      <c r="C84" s="147">
        <v>150</v>
      </c>
      <c r="D84" s="147">
        <v>75</v>
      </c>
      <c r="E84" s="147">
        <v>45</v>
      </c>
      <c r="F84" s="150" t="s">
        <v>69</v>
      </c>
      <c r="G84" s="146" t="s">
        <v>573</v>
      </c>
      <c r="H84" s="266">
        <f>150*1.1</f>
        <v>165</v>
      </c>
      <c r="I84" s="266">
        <f>75*1.1</f>
        <v>82.5</v>
      </c>
      <c r="J84" s="266">
        <f>45*1.1</f>
        <v>49.500000000000007</v>
      </c>
      <c r="K84" s="148">
        <f t="shared" si="1"/>
        <v>10.000000000000014</v>
      </c>
      <c r="L84" s="148">
        <f t="shared" si="1"/>
        <v>10.000000000000014</v>
      </c>
      <c r="M84" s="148">
        <f t="shared" si="1"/>
        <v>10.000000000000014</v>
      </c>
      <c r="N84" s="148"/>
      <c r="O84" s="148" t="s">
        <v>112</v>
      </c>
      <c r="P84" s="135"/>
    </row>
    <row r="85" spans="1:16" x14ac:dyDescent="0.25">
      <c r="A85" s="150" t="s">
        <v>72</v>
      </c>
      <c r="B85" s="146" t="s">
        <v>474</v>
      </c>
      <c r="C85" s="147"/>
      <c r="D85" s="147"/>
      <c r="E85" s="147"/>
      <c r="F85" s="150" t="s">
        <v>72</v>
      </c>
      <c r="G85" s="146" t="s">
        <v>474</v>
      </c>
      <c r="H85" s="266"/>
      <c r="I85" s="266"/>
      <c r="J85" s="266"/>
      <c r="K85" s="148"/>
      <c r="L85" s="148"/>
      <c r="M85" s="148"/>
      <c r="N85" s="148"/>
      <c r="O85" s="142"/>
      <c r="P85" s="135"/>
    </row>
    <row r="86" spans="1:16" x14ac:dyDescent="0.25">
      <c r="A86" s="150" t="s">
        <v>567</v>
      </c>
      <c r="B86" s="146" t="s">
        <v>476</v>
      </c>
      <c r="C86" s="147">
        <v>100</v>
      </c>
      <c r="D86" s="147">
        <v>70</v>
      </c>
      <c r="E86" s="147">
        <v>30</v>
      </c>
      <c r="F86" s="150" t="s">
        <v>567</v>
      </c>
      <c r="G86" s="146" t="s">
        <v>476</v>
      </c>
      <c r="H86" s="266">
        <f>100*1.1</f>
        <v>110.00000000000001</v>
      </c>
      <c r="I86" s="266">
        <f>70*1.1</f>
        <v>77</v>
      </c>
      <c r="J86" s="266">
        <f>30*1.1</f>
        <v>33</v>
      </c>
      <c r="K86" s="148">
        <f t="shared" si="1"/>
        <v>10.000000000000014</v>
      </c>
      <c r="L86" s="148">
        <f t="shared" si="1"/>
        <v>10.000000000000014</v>
      </c>
      <c r="M86" s="148">
        <f t="shared" si="1"/>
        <v>10.000000000000014</v>
      </c>
      <c r="N86" s="148"/>
      <c r="O86" s="148" t="s">
        <v>112</v>
      </c>
      <c r="P86" s="135"/>
    </row>
    <row r="87" spans="1:16" x14ac:dyDescent="0.25">
      <c r="A87" s="150" t="s">
        <v>567</v>
      </c>
      <c r="B87" s="146" t="s">
        <v>479</v>
      </c>
      <c r="C87" s="147">
        <v>90</v>
      </c>
      <c r="D87" s="147">
        <v>45</v>
      </c>
      <c r="E87" s="147">
        <v>27</v>
      </c>
      <c r="F87" s="150" t="s">
        <v>567</v>
      </c>
      <c r="G87" s="146" t="s">
        <v>479</v>
      </c>
      <c r="H87" s="266">
        <f>90*1.1</f>
        <v>99.000000000000014</v>
      </c>
      <c r="I87" s="266">
        <f>45*1.1</f>
        <v>49.500000000000007</v>
      </c>
      <c r="J87" s="266">
        <f>27*1.1</f>
        <v>29.700000000000003</v>
      </c>
      <c r="K87" s="148">
        <f t="shared" si="1"/>
        <v>10.000000000000014</v>
      </c>
      <c r="L87" s="148">
        <f t="shared" si="1"/>
        <v>10.000000000000014</v>
      </c>
      <c r="M87" s="148">
        <f t="shared" si="1"/>
        <v>10.000000000000014</v>
      </c>
      <c r="N87" s="148"/>
      <c r="O87" s="148" t="s">
        <v>112</v>
      </c>
      <c r="P87" s="135"/>
    </row>
    <row r="88" spans="1:16" x14ac:dyDescent="0.25">
      <c r="A88" s="150" t="s">
        <v>73</v>
      </c>
      <c r="B88" s="146" t="s">
        <v>481</v>
      </c>
      <c r="C88" s="147"/>
      <c r="D88" s="147"/>
      <c r="E88" s="147"/>
      <c r="F88" s="150" t="s">
        <v>73</v>
      </c>
      <c r="G88" s="146" t="s">
        <v>481</v>
      </c>
      <c r="H88" s="266"/>
      <c r="I88" s="266"/>
      <c r="J88" s="266"/>
      <c r="K88" s="148"/>
      <c r="L88" s="148"/>
      <c r="M88" s="148"/>
      <c r="N88" s="148"/>
      <c r="O88" s="142"/>
      <c r="P88" s="135"/>
    </row>
    <row r="89" spans="1:16" x14ac:dyDescent="0.25">
      <c r="A89" s="150" t="s">
        <v>567</v>
      </c>
      <c r="B89" s="146" t="s">
        <v>483</v>
      </c>
      <c r="C89" s="147">
        <v>90</v>
      </c>
      <c r="D89" s="147">
        <v>56</v>
      </c>
      <c r="E89" s="147">
        <v>27</v>
      </c>
      <c r="F89" s="150" t="s">
        <v>567</v>
      </c>
      <c r="G89" s="146" t="s">
        <v>483</v>
      </c>
      <c r="H89" s="266">
        <f>90*1.1</f>
        <v>99.000000000000014</v>
      </c>
      <c r="I89" s="266">
        <f>56*1.1</f>
        <v>61.600000000000009</v>
      </c>
      <c r="J89" s="266">
        <f>27*1.1</f>
        <v>29.700000000000003</v>
      </c>
      <c r="K89" s="148">
        <f t="shared" si="1"/>
        <v>10.000000000000014</v>
      </c>
      <c r="L89" s="148">
        <f t="shared" si="1"/>
        <v>10.000000000000014</v>
      </c>
      <c r="M89" s="148">
        <f t="shared" si="1"/>
        <v>10.000000000000014</v>
      </c>
      <c r="N89" s="148"/>
      <c r="O89" s="148" t="s">
        <v>112</v>
      </c>
      <c r="P89" s="135"/>
    </row>
    <row r="90" spans="1:16" x14ac:dyDescent="0.25">
      <c r="A90" s="150" t="s">
        <v>567</v>
      </c>
      <c r="B90" s="146" t="s">
        <v>485</v>
      </c>
      <c r="C90" s="147">
        <v>80</v>
      </c>
      <c r="D90" s="147">
        <v>40</v>
      </c>
      <c r="E90" s="147">
        <v>25</v>
      </c>
      <c r="F90" s="150" t="s">
        <v>567</v>
      </c>
      <c r="G90" s="146" t="s">
        <v>485</v>
      </c>
      <c r="H90" s="266">
        <f>80*1.1</f>
        <v>88</v>
      </c>
      <c r="I90" s="266">
        <f>40*1.1</f>
        <v>44</v>
      </c>
      <c r="J90" s="266">
        <f>25*1.1</f>
        <v>27.500000000000004</v>
      </c>
      <c r="K90" s="148">
        <f t="shared" si="1"/>
        <v>10.000000000000014</v>
      </c>
      <c r="L90" s="148">
        <f t="shared" si="1"/>
        <v>10.000000000000014</v>
      </c>
      <c r="M90" s="148">
        <f t="shared" si="1"/>
        <v>10.000000000000014</v>
      </c>
      <c r="N90" s="148"/>
      <c r="O90" s="148" t="s">
        <v>112</v>
      </c>
      <c r="P90" s="135"/>
    </row>
    <row r="91" spans="1:16" x14ac:dyDescent="0.25">
      <c r="A91" s="139">
        <v>6</v>
      </c>
      <c r="B91" s="143" t="s">
        <v>574</v>
      </c>
      <c r="C91" s="147"/>
      <c r="D91" s="147"/>
      <c r="E91" s="147"/>
      <c r="F91" s="139">
        <v>6</v>
      </c>
      <c r="G91" s="143" t="s">
        <v>574</v>
      </c>
      <c r="H91" s="266"/>
      <c r="I91" s="266"/>
      <c r="J91" s="266"/>
      <c r="K91" s="148"/>
      <c r="L91" s="148"/>
      <c r="M91" s="148"/>
      <c r="N91" s="148"/>
      <c r="O91" s="142"/>
      <c r="P91" s="135"/>
    </row>
    <row r="92" spans="1:16" ht="56.25" customHeight="1" x14ac:dyDescent="0.25">
      <c r="A92" s="150" t="s">
        <v>77</v>
      </c>
      <c r="B92" s="146" t="s">
        <v>575</v>
      </c>
      <c r="C92" s="147">
        <v>250</v>
      </c>
      <c r="D92" s="147">
        <v>125</v>
      </c>
      <c r="E92" s="147">
        <v>75</v>
      </c>
      <c r="F92" s="150" t="s">
        <v>77</v>
      </c>
      <c r="G92" s="146" t="s">
        <v>575</v>
      </c>
      <c r="H92" s="266">
        <f>250*1.1</f>
        <v>275</v>
      </c>
      <c r="I92" s="266">
        <f>125*1.1</f>
        <v>137.5</v>
      </c>
      <c r="J92" s="266">
        <f>75*1.1</f>
        <v>82.5</v>
      </c>
      <c r="K92" s="148">
        <f t="shared" si="1"/>
        <v>10.000000000000014</v>
      </c>
      <c r="L92" s="148">
        <f t="shared" si="1"/>
        <v>10.000000000000014</v>
      </c>
      <c r="M92" s="148">
        <f t="shared" si="1"/>
        <v>10.000000000000014</v>
      </c>
      <c r="N92" s="148"/>
      <c r="O92" s="148" t="s">
        <v>112</v>
      </c>
      <c r="P92" s="135"/>
    </row>
    <row r="93" spans="1:16" x14ac:dyDescent="0.25">
      <c r="A93" s="150" t="s">
        <v>78</v>
      </c>
      <c r="B93" s="146" t="s">
        <v>474</v>
      </c>
      <c r="C93" s="147"/>
      <c r="D93" s="147"/>
      <c r="E93" s="147"/>
      <c r="F93" s="150" t="s">
        <v>78</v>
      </c>
      <c r="G93" s="146" t="s">
        <v>474</v>
      </c>
      <c r="H93" s="266"/>
      <c r="I93" s="266"/>
      <c r="J93" s="266"/>
      <c r="K93" s="148"/>
      <c r="L93" s="148"/>
      <c r="M93" s="148"/>
      <c r="N93" s="148"/>
      <c r="O93" s="142"/>
      <c r="P93" s="135"/>
    </row>
    <row r="94" spans="1:16" x14ac:dyDescent="0.25">
      <c r="A94" s="150" t="s">
        <v>567</v>
      </c>
      <c r="B94" s="146" t="s">
        <v>497</v>
      </c>
      <c r="C94" s="147">
        <v>110</v>
      </c>
      <c r="D94" s="147">
        <v>70</v>
      </c>
      <c r="E94" s="147">
        <v>33</v>
      </c>
      <c r="F94" s="150" t="s">
        <v>567</v>
      </c>
      <c r="G94" s="146" t="s">
        <v>497</v>
      </c>
      <c r="H94" s="266">
        <f>110*1.1</f>
        <v>121.00000000000001</v>
      </c>
      <c r="I94" s="266">
        <f>70*1.1</f>
        <v>77</v>
      </c>
      <c r="J94" s="266">
        <f>33*1.1</f>
        <v>36.300000000000004</v>
      </c>
      <c r="K94" s="148">
        <f t="shared" si="1"/>
        <v>10.000000000000014</v>
      </c>
      <c r="L94" s="148">
        <f t="shared" si="1"/>
        <v>10.000000000000014</v>
      </c>
      <c r="M94" s="148">
        <f t="shared" si="1"/>
        <v>10.000000000000014</v>
      </c>
      <c r="N94" s="148"/>
      <c r="O94" s="148" t="s">
        <v>112</v>
      </c>
      <c r="P94" s="135"/>
    </row>
    <row r="95" spans="1:16" x14ac:dyDescent="0.25">
      <c r="A95" s="150" t="s">
        <v>567</v>
      </c>
      <c r="B95" s="146" t="s">
        <v>479</v>
      </c>
      <c r="C95" s="147">
        <v>100</v>
      </c>
      <c r="D95" s="147">
        <v>50</v>
      </c>
      <c r="E95" s="147">
        <v>30</v>
      </c>
      <c r="F95" s="150" t="s">
        <v>567</v>
      </c>
      <c r="G95" s="146" t="s">
        <v>479</v>
      </c>
      <c r="H95" s="266">
        <f>100*1.1</f>
        <v>110.00000000000001</v>
      </c>
      <c r="I95" s="266">
        <f>50*1.1</f>
        <v>55.000000000000007</v>
      </c>
      <c r="J95" s="266">
        <f>30*1.1</f>
        <v>33</v>
      </c>
      <c r="K95" s="148">
        <f t="shared" si="1"/>
        <v>10.000000000000014</v>
      </c>
      <c r="L95" s="148">
        <f t="shared" si="1"/>
        <v>10.000000000000014</v>
      </c>
      <c r="M95" s="148">
        <f t="shared" si="1"/>
        <v>10.000000000000014</v>
      </c>
      <c r="N95" s="148"/>
      <c r="O95" s="148" t="s">
        <v>112</v>
      </c>
      <c r="P95" s="135"/>
    </row>
    <row r="96" spans="1:16" x14ac:dyDescent="0.25">
      <c r="A96" s="150" t="s">
        <v>79</v>
      </c>
      <c r="B96" s="146" t="s">
        <v>481</v>
      </c>
      <c r="C96" s="147"/>
      <c r="D96" s="147"/>
      <c r="E96" s="147"/>
      <c r="F96" s="150" t="s">
        <v>79</v>
      </c>
      <c r="G96" s="146" t="s">
        <v>481</v>
      </c>
      <c r="H96" s="266"/>
      <c r="I96" s="266"/>
      <c r="J96" s="266"/>
      <c r="K96" s="148"/>
      <c r="L96" s="148"/>
      <c r="M96" s="148"/>
      <c r="N96" s="148"/>
      <c r="O96" s="142"/>
      <c r="P96" s="135"/>
    </row>
    <row r="97" spans="1:16" x14ac:dyDescent="0.25">
      <c r="A97" s="150" t="s">
        <v>567</v>
      </c>
      <c r="B97" s="90" t="s">
        <v>500</v>
      </c>
      <c r="C97" s="147">
        <v>90</v>
      </c>
      <c r="D97" s="147">
        <v>56</v>
      </c>
      <c r="E97" s="147">
        <v>27</v>
      </c>
      <c r="F97" s="150" t="s">
        <v>567</v>
      </c>
      <c r="G97" s="90" t="s">
        <v>500</v>
      </c>
      <c r="H97" s="266">
        <f>90*1.1</f>
        <v>99.000000000000014</v>
      </c>
      <c r="I97" s="266">
        <f>56*1.1</f>
        <v>61.600000000000009</v>
      </c>
      <c r="J97" s="266">
        <f>27*1.1</f>
        <v>29.700000000000003</v>
      </c>
      <c r="K97" s="148">
        <f t="shared" si="1"/>
        <v>10.000000000000014</v>
      </c>
      <c r="L97" s="148">
        <f t="shared" si="1"/>
        <v>10.000000000000014</v>
      </c>
      <c r="M97" s="148">
        <f t="shared" si="1"/>
        <v>10.000000000000014</v>
      </c>
      <c r="N97" s="148"/>
      <c r="O97" s="148" t="s">
        <v>112</v>
      </c>
      <c r="P97" s="135"/>
    </row>
    <row r="98" spans="1:16" x14ac:dyDescent="0.25">
      <c r="A98" s="150" t="s">
        <v>567</v>
      </c>
      <c r="B98" s="90" t="s">
        <v>485</v>
      </c>
      <c r="C98" s="147">
        <v>80</v>
      </c>
      <c r="D98" s="147">
        <v>40</v>
      </c>
      <c r="E98" s="147">
        <v>25</v>
      </c>
      <c r="F98" s="150" t="s">
        <v>567</v>
      </c>
      <c r="G98" s="90" t="s">
        <v>485</v>
      </c>
      <c r="H98" s="266">
        <f>80*1.1</f>
        <v>88</v>
      </c>
      <c r="I98" s="266">
        <f>40*1.1</f>
        <v>44</v>
      </c>
      <c r="J98" s="266">
        <f>25*1.1</f>
        <v>27.500000000000004</v>
      </c>
      <c r="K98" s="148">
        <f t="shared" si="1"/>
        <v>10.000000000000014</v>
      </c>
      <c r="L98" s="148">
        <f t="shared" si="1"/>
        <v>10.000000000000014</v>
      </c>
      <c r="M98" s="148">
        <f t="shared" si="1"/>
        <v>10.000000000000014</v>
      </c>
      <c r="N98" s="148"/>
      <c r="O98" s="148" t="s">
        <v>112</v>
      </c>
      <c r="P98" s="135"/>
    </row>
    <row r="99" spans="1:16" x14ac:dyDescent="0.25">
      <c r="A99" s="139">
        <v>7</v>
      </c>
      <c r="B99" s="143" t="s">
        <v>576</v>
      </c>
      <c r="C99" s="147"/>
      <c r="D99" s="147"/>
      <c r="E99" s="147"/>
      <c r="F99" s="139">
        <v>7</v>
      </c>
      <c r="G99" s="143" t="s">
        <v>576</v>
      </c>
      <c r="H99" s="266"/>
      <c r="I99" s="267"/>
      <c r="J99" s="267"/>
      <c r="K99" s="148"/>
      <c r="L99" s="148"/>
      <c r="M99" s="148"/>
      <c r="N99" s="150"/>
      <c r="O99" s="142"/>
      <c r="P99" s="135"/>
    </row>
    <row r="100" spans="1:16" ht="54" customHeight="1" x14ac:dyDescent="0.25">
      <c r="A100" s="150" t="s">
        <v>199</v>
      </c>
      <c r="B100" s="146" t="s">
        <v>577</v>
      </c>
      <c r="C100" s="157">
        <v>250</v>
      </c>
      <c r="D100" s="157">
        <v>130</v>
      </c>
      <c r="E100" s="157">
        <v>80</v>
      </c>
      <c r="F100" s="150" t="s">
        <v>199</v>
      </c>
      <c r="G100" s="146" t="s">
        <v>577</v>
      </c>
      <c r="H100" s="271">
        <f>250*1.1</f>
        <v>275</v>
      </c>
      <c r="I100" s="271">
        <f>130*1.1</f>
        <v>143</v>
      </c>
      <c r="J100" s="271">
        <f>80*1.1</f>
        <v>88</v>
      </c>
      <c r="K100" s="148">
        <f t="shared" ref="K100:M102" si="2">(H100/C100)*100-100</f>
        <v>10.000000000000014</v>
      </c>
      <c r="L100" s="148">
        <f t="shared" si="2"/>
        <v>10.000000000000014</v>
      </c>
      <c r="M100" s="148">
        <f t="shared" si="2"/>
        <v>10.000000000000014</v>
      </c>
      <c r="N100" s="148"/>
      <c r="O100" s="148" t="s">
        <v>112</v>
      </c>
      <c r="P100" s="135"/>
    </row>
    <row r="101" spans="1:16" ht="54" customHeight="1" x14ac:dyDescent="0.25">
      <c r="A101" s="150" t="s">
        <v>578</v>
      </c>
      <c r="B101" s="146" t="s">
        <v>579</v>
      </c>
      <c r="C101" s="157">
        <v>200</v>
      </c>
      <c r="D101" s="157">
        <v>110</v>
      </c>
      <c r="E101" s="157">
        <v>60</v>
      </c>
      <c r="F101" s="150" t="s">
        <v>578</v>
      </c>
      <c r="G101" s="146" t="s">
        <v>579</v>
      </c>
      <c r="H101" s="271">
        <f>200*1.1</f>
        <v>220.00000000000003</v>
      </c>
      <c r="I101" s="271">
        <f>110*1.1</f>
        <v>121.00000000000001</v>
      </c>
      <c r="J101" s="271">
        <f>60*1.1</f>
        <v>66</v>
      </c>
      <c r="K101" s="148">
        <f t="shared" si="2"/>
        <v>10.000000000000014</v>
      </c>
      <c r="L101" s="148">
        <f t="shared" si="2"/>
        <v>10.000000000000014</v>
      </c>
      <c r="M101" s="148">
        <f t="shared" si="2"/>
        <v>10.000000000000014</v>
      </c>
      <c r="N101" s="148"/>
      <c r="O101" s="148" t="s">
        <v>112</v>
      </c>
      <c r="P101" s="135"/>
    </row>
    <row r="102" spans="1:16" ht="54" customHeight="1" x14ac:dyDescent="0.25">
      <c r="A102" s="150" t="s">
        <v>580</v>
      </c>
      <c r="B102" s="146" t="s">
        <v>581</v>
      </c>
      <c r="C102" s="150">
        <v>170</v>
      </c>
      <c r="D102" s="150">
        <v>90</v>
      </c>
      <c r="E102" s="150">
        <v>50</v>
      </c>
      <c r="F102" s="150" t="s">
        <v>580</v>
      </c>
      <c r="G102" s="146" t="s">
        <v>581</v>
      </c>
      <c r="H102" s="267">
        <f>170*1.1</f>
        <v>187.00000000000003</v>
      </c>
      <c r="I102" s="267">
        <f>90*1.1</f>
        <v>99.000000000000014</v>
      </c>
      <c r="J102" s="267">
        <f>50*1.1</f>
        <v>55.000000000000007</v>
      </c>
      <c r="K102" s="148">
        <f t="shared" si="2"/>
        <v>10.000000000000014</v>
      </c>
      <c r="L102" s="148">
        <f t="shared" si="2"/>
        <v>10.000000000000014</v>
      </c>
      <c r="M102" s="148">
        <f t="shared" si="2"/>
        <v>10.000000000000014</v>
      </c>
      <c r="N102" s="148"/>
      <c r="O102" s="148" t="s">
        <v>112</v>
      </c>
      <c r="P102" s="135"/>
    </row>
    <row r="103" spans="1:16" x14ac:dyDescent="0.25">
      <c r="A103" s="150" t="s">
        <v>200</v>
      </c>
      <c r="B103" s="146" t="s">
        <v>474</v>
      </c>
      <c r="C103" s="147"/>
      <c r="D103" s="147"/>
      <c r="E103" s="147"/>
      <c r="F103" s="150" t="s">
        <v>200</v>
      </c>
      <c r="G103" s="146" t="s">
        <v>474</v>
      </c>
      <c r="H103" s="266"/>
      <c r="I103" s="267"/>
      <c r="J103" s="267"/>
      <c r="K103" s="148"/>
      <c r="L103" s="148"/>
      <c r="M103" s="148"/>
      <c r="N103" s="150"/>
      <c r="O103" s="142"/>
      <c r="P103" s="135"/>
    </row>
    <row r="104" spans="1:16" x14ac:dyDescent="0.25">
      <c r="A104" s="150" t="s">
        <v>567</v>
      </c>
      <c r="B104" s="146" t="s">
        <v>582</v>
      </c>
      <c r="C104" s="147">
        <v>110</v>
      </c>
      <c r="D104" s="147">
        <v>70</v>
      </c>
      <c r="E104" s="147">
        <v>33</v>
      </c>
      <c r="F104" s="150" t="s">
        <v>567</v>
      </c>
      <c r="G104" s="146" t="s">
        <v>582</v>
      </c>
      <c r="H104" s="266">
        <f>110*1.1</f>
        <v>121.00000000000001</v>
      </c>
      <c r="I104" s="266">
        <f>70*1.1</f>
        <v>77</v>
      </c>
      <c r="J104" s="266">
        <f>33*1.1</f>
        <v>36.300000000000004</v>
      </c>
      <c r="K104" s="148">
        <f t="shared" si="1"/>
        <v>10.000000000000014</v>
      </c>
      <c r="L104" s="148">
        <f t="shared" si="1"/>
        <v>10.000000000000014</v>
      </c>
      <c r="M104" s="148">
        <f t="shared" si="1"/>
        <v>10.000000000000014</v>
      </c>
      <c r="N104" s="148"/>
      <c r="O104" s="148" t="s">
        <v>112</v>
      </c>
      <c r="P104" s="135"/>
    </row>
    <row r="105" spans="1:16" x14ac:dyDescent="0.25">
      <c r="A105" s="150" t="s">
        <v>567</v>
      </c>
      <c r="B105" s="146" t="s">
        <v>479</v>
      </c>
      <c r="C105" s="147">
        <v>100</v>
      </c>
      <c r="D105" s="147">
        <v>50</v>
      </c>
      <c r="E105" s="147">
        <v>30</v>
      </c>
      <c r="F105" s="150" t="s">
        <v>567</v>
      </c>
      <c r="G105" s="146" t="s">
        <v>479</v>
      </c>
      <c r="H105" s="266">
        <f>100*1.1</f>
        <v>110.00000000000001</v>
      </c>
      <c r="I105" s="266">
        <f>50*1.1</f>
        <v>55.000000000000007</v>
      </c>
      <c r="J105" s="266">
        <f>30*1.1</f>
        <v>33</v>
      </c>
      <c r="K105" s="148">
        <f t="shared" si="1"/>
        <v>10.000000000000014</v>
      </c>
      <c r="L105" s="148">
        <f t="shared" si="1"/>
        <v>10.000000000000014</v>
      </c>
      <c r="M105" s="148">
        <f t="shared" si="1"/>
        <v>10.000000000000014</v>
      </c>
      <c r="N105" s="148"/>
      <c r="O105" s="148" t="s">
        <v>112</v>
      </c>
      <c r="P105" s="135"/>
    </row>
    <row r="106" spans="1:16" x14ac:dyDescent="0.25">
      <c r="A106" s="150" t="s">
        <v>201</v>
      </c>
      <c r="B106" s="146" t="s">
        <v>481</v>
      </c>
      <c r="C106" s="147"/>
      <c r="D106" s="147"/>
      <c r="E106" s="147"/>
      <c r="F106" s="150" t="s">
        <v>201</v>
      </c>
      <c r="G106" s="146" t="s">
        <v>481</v>
      </c>
      <c r="H106" s="266"/>
      <c r="I106" s="266"/>
      <c r="J106" s="266"/>
      <c r="K106" s="148"/>
      <c r="L106" s="148"/>
      <c r="M106" s="148"/>
      <c r="N106" s="148"/>
      <c r="O106" s="142"/>
      <c r="P106" s="135"/>
    </row>
    <row r="107" spans="1:16" x14ac:dyDescent="0.25">
      <c r="A107" s="150" t="s">
        <v>567</v>
      </c>
      <c r="B107" s="146" t="s">
        <v>500</v>
      </c>
      <c r="C107" s="147">
        <v>90</v>
      </c>
      <c r="D107" s="147">
        <v>56</v>
      </c>
      <c r="E107" s="147">
        <v>27</v>
      </c>
      <c r="F107" s="150" t="s">
        <v>567</v>
      </c>
      <c r="G107" s="146" t="s">
        <v>500</v>
      </c>
      <c r="H107" s="266">
        <f>90*1.1</f>
        <v>99.000000000000014</v>
      </c>
      <c r="I107" s="266">
        <f>56*1.1</f>
        <v>61.600000000000009</v>
      </c>
      <c r="J107" s="266">
        <f>27*1.1</f>
        <v>29.700000000000003</v>
      </c>
      <c r="K107" s="148">
        <f t="shared" si="1"/>
        <v>10.000000000000014</v>
      </c>
      <c r="L107" s="148">
        <f t="shared" si="1"/>
        <v>10.000000000000014</v>
      </c>
      <c r="M107" s="148">
        <f t="shared" si="1"/>
        <v>10.000000000000014</v>
      </c>
      <c r="N107" s="148"/>
      <c r="O107" s="148" t="s">
        <v>112</v>
      </c>
      <c r="P107" s="135"/>
    </row>
    <row r="108" spans="1:16" x14ac:dyDescent="0.25">
      <c r="A108" s="150" t="s">
        <v>567</v>
      </c>
      <c r="B108" s="146" t="s">
        <v>485</v>
      </c>
      <c r="C108" s="147">
        <v>80</v>
      </c>
      <c r="D108" s="147">
        <v>40</v>
      </c>
      <c r="E108" s="147">
        <v>25</v>
      </c>
      <c r="F108" s="150" t="s">
        <v>567</v>
      </c>
      <c r="G108" s="146" t="s">
        <v>485</v>
      </c>
      <c r="H108" s="266">
        <f>80*1.1</f>
        <v>88</v>
      </c>
      <c r="I108" s="266">
        <f>40*1.1</f>
        <v>44</v>
      </c>
      <c r="J108" s="266">
        <f>25*1.1</f>
        <v>27.500000000000004</v>
      </c>
      <c r="K108" s="148">
        <f t="shared" si="1"/>
        <v>10.000000000000014</v>
      </c>
      <c r="L108" s="148">
        <f t="shared" si="1"/>
        <v>10.000000000000014</v>
      </c>
      <c r="M108" s="148">
        <f t="shared" si="1"/>
        <v>10.000000000000014</v>
      </c>
      <c r="N108" s="148"/>
      <c r="O108" s="148" t="s">
        <v>112</v>
      </c>
      <c r="P108" s="135"/>
    </row>
    <row r="109" spans="1:16" x14ac:dyDescent="0.25">
      <c r="A109" s="139">
        <v>8</v>
      </c>
      <c r="B109" s="143" t="s">
        <v>583</v>
      </c>
      <c r="C109" s="147"/>
      <c r="D109" s="147"/>
      <c r="E109" s="147"/>
      <c r="F109" s="139">
        <v>8</v>
      </c>
      <c r="G109" s="143" t="s">
        <v>583</v>
      </c>
      <c r="H109" s="266"/>
      <c r="I109" s="266"/>
      <c r="J109" s="266"/>
      <c r="K109" s="148"/>
      <c r="L109" s="148"/>
      <c r="M109" s="148"/>
      <c r="N109" s="148"/>
      <c r="O109" s="142"/>
      <c r="P109" s="135"/>
    </row>
    <row r="110" spans="1:16" ht="25.5" customHeight="1" x14ac:dyDescent="0.25">
      <c r="A110" s="150" t="s">
        <v>27</v>
      </c>
      <c r="B110" s="146" t="s">
        <v>584</v>
      </c>
      <c r="C110" s="147">
        <v>250</v>
      </c>
      <c r="D110" s="147">
        <v>125</v>
      </c>
      <c r="E110" s="147">
        <v>75</v>
      </c>
      <c r="F110" s="150" t="s">
        <v>27</v>
      </c>
      <c r="G110" s="146" t="s">
        <v>584</v>
      </c>
      <c r="H110" s="266">
        <f>250*1.1</f>
        <v>275</v>
      </c>
      <c r="I110" s="266">
        <f>125*1.1</f>
        <v>137.5</v>
      </c>
      <c r="J110" s="266">
        <f>75*1.1</f>
        <v>82.5</v>
      </c>
      <c r="K110" s="148">
        <f t="shared" si="1"/>
        <v>10.000000000000014</v>
      </c>
      <c r="L110" s="148">
        <f t="shared" si="1"/>
        <v>10.000000000000014</v>
      </c>
      <c r="M110" s="148">
        <f t="shared" si="1"/>
        <v>10.000000000000014</v>
      </c>
      <c r="N110" s="148"/>
      <c r="O110" s="148" t="s">
        <v>112</v>
      </c>
      <c r="P110" s="135" t="s">
        <v>1049</v>
      </c>
    </row>
    <row r="111" spans="1:16" ht="42" customHeight="1" x14ac:dyDescent="0.25">
      <c r="A111" s="150" t="s">
        <v>31</v>
      </c>
      <c r="B111" s="146" t="s">
        <v>585</v>
      </c>
      <c r="C111" s="147">
        <v>220</v>
      </c>
      <c r="D111" s="147">
        <v>110</v>
      </c>
      <c r="E111" s="147">
        <v>66</v>
      </c>
      <c r="F111" s="150" t="s">
        <v>31</v>
      </c>
      <c r="G111" s="146" t="s">
        <v>585</v>
      </c>
      <c r="H111" s="266">
        <f>220*1.1</f>
        <v>242.00000000000003</v>
      </c>
      <c r="I111" s="266">
        <f>110*1.1</f>
        <v>121.00000000000001</v>
      </c>
      <c r="J111" s="266">
        <f>66*1.1</f>
        <v>72.600000000000009</v>
      </c>
      <c r="K111" s="148">
        <f t="shared" si="1"/>
        <v>10.000000000000014</v>
      </c>
      <c r="L111" s="148">
        <f t="shared" si="1"/>
        <v>10.000000000000014</v>
      </c>
      <c r="M111" s="148">
        <f t="shared" si="1"/>
        <v>10.000000000000014</v>
      </c>
      <c r="N111" s="148"/>
      <c r="O111" s="148" t="s">
        <v>112</v>
      </c>
      <c r="P111" s="135" t="s">
        <v>1054</v>
      </c>
    </row>
    <row r="112" spans="1:16" x14ac:dyDescent="0.25">
      <c r="A112" s="150" t="s">
        <v>33</v>
      </c>
      <c r="B112" s="146" t="s">
        <v>474</v>
      </c>
      <c r="C112" s="147"/>
      <c r="D112" s="147"/>
      <c r="E112" s="147"/>
      <c r="F112" s="150" t="s">
        <v>33</v>
      </c>
      <c r="G112" s="146" t="s">
        <v>474</v>
      </c>
      <c r="H112" s="266"/>
      <c r="I112" s="266"/>
      <c r="J112" s="266"/>
      <c r="K112" s="148"/>
      <c r="L112" s="148"/>
      <c r="M112" s="148"/>
      <c r="N112" s="148"/>
      <c r="O112" s="142"/>
      <c r="P112" s="135"/>
    </row>
    <row r="113" spans="1:16" x14ac:dyDescent="0.25">
      <c r="A113" s="150" t="s">
        <v>567</v>
      </c>
      <c r="B113" s="146" t="s">
        <v>497</v>
      </c>
      <c r="C113" s="147">
        <v>120</v>
      </c>
      <c r="D113" s="147">
        <v>62.999999999999993</v>
      </c>
      <c r="E113" s="147">
        <v>56</v>
      </c>
      <c r="F113" s="150" t="s">
        <v>567</v>
      </c>
      <c r="G113" s="146" t="s">
        <v>497</v>
      </c>
      <c r="H113" s="266">
        <f>120*1.1</f>
        <v>132</v>
      </c>
      <c r="I113" s="266">
        <f>63*1.1</f>
        <v>69.300000000000011</v>
      </c>
      <c r="J113" s="266">
        <f>56*1.1</f>
        <v>61.600000000000009</v>
      </c>
      <c r="K113" s="148">
        <f t="shared" si="1"/>
        <v>10.000000000000014</v>
      </c>
      <c r="L113" s="148">
        <f t="shared" si="1"/>
        <v>10.000000000000028</v>
      </c>
      <c r="M113" s="148">
        <f t="shared" si="1"/>
        <v>10.000000000000014</v>
      </c>
      <c r="N113" s="148"/>
      <c r="O113" s="148" t="s">
        <v>112</v>
      </c>
      <c r="P113" s="135" t="s">
        <v>1054</v>
      </c>
    </row>
    <row r="114" spans="1:16" x14ac:dyDescent="0.25">
      <c r="A114" s="150" t="s">
        <v>567</v>
      </c>
      <c r="B114" s="146" t="s">
        <v>479</v>
      </c>
      <c r="C114" s="147">
        <v>110</v>
      </c>
      <c r="D114" s="147">
        <v>55</v>
      </c>
      <c r="E114" s="147">
        <v>33</v>
      </c>
      <c r="F114" s="150" t="s">
        <v>567</v>
      </c>
      <c r="G114" s="146" t="s">
        <v>479</v>
      </c>
      <c r="H114" s="266">
        <f>110*1.1</f>
        <v>121.00000000000001</v>
      </c>
      <c r="I114" s="266">
        <f>55*1.1</f>
        <v>60.500000000000007</v>
      </c>
      <c r="J114" s="266">
        <f>33*1.1</f>
        <v>36.300000000000004</v>
      </c>
      <c r="K114" s="148">
        <f t="shared" si="1"/>
        <v>10.000000000000014</v>
      </c>
      <c r="L114" s="148">
        <f t="shared" si="1"/>
        <v>10.000000000000014</v>
      </c>
      <c r="M114" s="148">
        <f t="shared" si="1"/>
        <v>10.000000000000014</v>
      </c>
      <c r="N114" s="148"/>
      <c r="O114" s="148" t="s">
        <v>112</v>
      </c>
      <c r="P114" s="135"/>
    </row>
    <row r="115" spans="1:16" x14ac:dyDescent="0.25">
      <c r="A115" s="150" t="s">
        <v>213</v>
      </c>
      <c r="B115" s="146" t="s">
        <v>481</v>
      </c>
      <c r="C115" s="147"/>
      <c r="D115" s="147"/>
      <c r="E115" s="147"/>
      <c r="F115" s="150" t="s">
        <v>213</v>
      </c>
      <c r="G115" s="146" t="s">
        <v>481</v>
      </c>
      <c r="H115" s="266"/>
      <c r="I115" s="266"/>
      <c r="J115" s="266"/>
      <c r="K115" s="148"/>
      <c r="L115" s="148"/>
      <c r="M115" s="148"/>
      <c r="N115" s="148"/>
      <c r="O115" s="142"/>
      <c r="P115" s="135" t="s">
        <v>1055</v>
      </c>
    </row>
    <row r="116" spans="1:16" x14ac:dyDescent="0.25">
      <c r="A116" s="150" t="s">
        <v>567</v>
      </c>
      <c r="B116" s="146" t="s">
        <v>586</v>
      </c>
      <c r="C116" s="147">
        <v>90</v>
      </c>
      <c r="D116" s="147">
        <v>56</v>
      </c>
      <c r="E116" s="147">
        <v>27</v>
      </c>
      <c r="F116" s="150" t="s">
        <v>567</v>
      </c>
      <c r="G116" s="146" t="s">
        <v>586</v>
      </c>
      <c r="H116" s="266">
        <f>90*1.1</f>
        <v>99.000000000000014</v>
      </c>
      <c r="I116" s="266">
        <f>56*1.1</f>
        <v>61.600000000000009</v>
      </c>
      <c r="J116" s="266">
        <f>27*1.1</f>
        <v>29.700000000000003</v>
      </c>
      <c r="K116" s="148">
        <f t="shared" si="1"/>
        <v>10.000000000000014</v>
      </c>
      <c r="L116" s="148">
        <f t="shared" si="1"/>
        <v>10.000000000000014</v>
      </c>
      <c r="M116" s="148">
        <f t="shared" si="1"/>
        <v>10.000000000000014</v>
      </c>
      <c r="N116" s="148"/>
      <c r="O116" s="148" t="s">
        <v>112</v>
      </c>
      <c r="P116" s="135"/>
    </row>
    <row r="117" spans="1:16" x14ac:dyDescent="0.25">
      <c r="A117" s="150" t="s">
        <v>567</v>
      </c>
      <c r="B117" s="146" t="s">
        <v>485</v>
      </c>
      <c r="C117" s="147">
        <v>80</v>
      </c>
      <c r="D117" s="147">
        <v>40</v>
      </c>
      <c r="E117" s="147">
        <v>25</v>
      </c>
      <c r="F117" s="150" t="s">
        <v>567</v>
      </c>
      <c r="G117" s="146" t="s">
        <v>485</v>
      </c>
      <c r="H117" s="266">
        <f>80*1.1</f>
        <v>88</v>
      </c>
      <c r="I117" s="266">
        <f>40*1.1</f>
        <v>44</v>
      </c>
      <c r="J117" s="266">
        <f>25*1.1</f>
        <v>27.500000000000004</v>
      </c>
      <c r="K117" s="148">
        <f t="shared" si="1"/>
        <v>10.000000000000014</v>
      </c>
      <c r="L117" s="148">
        <f t="shared" si="1"/>
        <v>10.000000000000014</v>
      </c>
      <c r="M117" s="148">
        <f t="shared" si="1"/>
        <v>10.000000000000014</v>
      </c>
      <c r="N117" s="148"/>
      <c r="O117" s="148" t="s">
        <v>112</v>
      </c>
      <c r="P117" s="135"/>
    </row>
    <row r="118" spans="1:16" x14ac:dyDescent="0.25">
      <c r="A118" s="139">
        <v>9</v>
      </c>
      <c r="B118" s="143" t="s">
        <v>587</v>
      </c>
      <c r="C118" s="147"/>
      <c r="D118" s="147"/>
      <c r="E118" s="147"/>
      <c r="F118" s="139">
        <v>9</v>
      </c>
      <c r="G118" s="143" t="s">
        <v>587</v>
      </c>
      <c r="H118" s="266"/>
      <c r="I118" s="266"/>
      <c r="J118" s="266"/>
      <c r="K118" s="148"/>
      <c r="L118" s="148"/>
      <c r="M118" s="148"/>
      <c r="N118" s="148"/>
      <c r="O118" s="142"/>
      <c r="P118" s="135"/>
    </row>
    <row r="119" spans="1:16" x14ac:dyDescent="0.25">
      <c r="A119" s="150" t="s">
        <v>217</v>
      </c>
      <c r="B119" s="146" t="s">
        <v>588</v>
      </c>
      <c r="C119" s="147">
        <v>230</v>
      </c>
      <c r="D119" s="147">
        <v>115</v>
      </c>
      <c r="E119" s="147">
        <v>69</v>
      </c>
      <c r="F119" s="150" t="s">
        <v>217</v>
      </c>
      <c r="G119" s="146" t="s">
        <v>588</v>
      </c>
      <c r="H119" s="266">
        <f>230*1.1</f>
        <v>253.00000000000003</v>
      </c>
      <c r="I119" s="266">
        <f>115*1.1</f>
        <v>126.50000000000001</v>
      </c>
      <c r="J119" s="266">
        <f>69*1.1</f>
        <v>75.900000000000006</v>
      </c>
      <c r="K119" s="148">
        <f t="shared" si="1"/>
        <v>10.000000000000014</v>
      </c>
      <c r="L119" s="148">
        <f t="shared" si="1"/>
        <v>10.000000000000014</v>
      </c>
      <c r="M119" s="148">
        <f t="shared" si="1"/>
        <v>10.000000000000014</v>
      </c>
      <c r="N119" s="148"/>
      <c r="O119" s="148" t="s">
        <v>112</v>
      </c>
      <c r="P119" s="135"/>
    </row>
    <row r="120" spans="1:16" x14ac:dyDescent="0.25">
      <c r="A120" s="150" t="s">
        <v>218</v>
      </c>
      <c r="B120" s="146" t="s">
        <v>474</v>
      </c>
      <c r="C120" s="147"/>
      <c r="D120" s="147"/>
      <c r="E120" s="147"/>
      <c r="F120" s="150" t="s">
        <v>218</v>
      </c>
      <c r="G120" s="146" t="s">
        <v>474</v>
      </c>
      <c r="H120" s="266"/>
      <c r="I120" s="266"/>
      <c r="J120" s="266"/>
      <c r="K120" s="148"/>
      <c r="L120" s="148"/>
      <c r="M120" s="148"/>
      <c r="N120" s="148"/>
      <c r="O120" s="142"/>
      <c r="P120" s="135"/>
    </row>
    <row r="121" spans="1:16" x14ac:dyDescent="0.25">
      <c r="A121" s="150" t="s">
        <v>567</v>
      </c>
      <c r="B121" s="146" t="s">
        <v>497</v>
      </c>
      <c r="C121" s="147">
        <v>110</v>
      </c>
      <c r="D121" s="147">
        <v>70</v>
      </c>
      <c r="E121" s="147">
        <v>33</v>
      </c>
      <c r="F121" s="150" t="s">
        <v>567</v>
      </c>
      <c r="G121" s="146" t="s">
        <v>497</v>
      </c>
      <c r="H121" s="266">
        <f>110*1.1</f>
        <v>121.00000000000001</v>
      </c>
      <c r="I121" s="266">
        <f>70*1.1</f>
        <v>77</v>
      </c>
      <c r="J121" s="266">
        <f>33*1.1</f>
        <v>36.300000000000004</v>
      </c>
      <c r="K121" s="148">
        <f t="shared" si="1"/>
        <v>10.000000000000014</v>
      </c>
      <c r="L121" s="148">
        <f t="shared" si="1"/>
        <v>10.000000000000014</v>
      </c>
      <c r="M121" s="148">
        <f t="shared" si="1"/>
        <v>10.000000000000014</v>
      </c>
      <c r="N121" s="148"/>
      <c r="O121" s="148" t="s">
        <v>112</v>
      </c>
      <c r="P121" s="135"/>
    </row>
    <row r="122" spans="1:16" x14ac:dyDescent="0.25">
      <c r="A122" s="150" t="s">
        <v>567</v>
      </c>
      <c r="B122" s="146" t="s">
        <v>479</v>
      </c>
      <c r="C122" s="147">
        <v>100</v>
      </c>
      <c r="D122" s="147">
        <v>50</v>
      </c>
      <c r="E122" s="147">
        <v>30</v>
      </c>
      <c r="F122" s="150" t="s">
        <v>567</v>
      </c>
      <c r="G122" s="146" t="s">
        <v>479</v>
      </c>
      <c r="H122" s="266">
        <f>100*1.1</f>
        <v>110.00000000000001</v>
      </c>
      <c r="I122" s="266">
        <f>50*1.1</f>
        <v>55.000000000000007</v>
      </c>
      <c r="J122" s="266">
        <f>30*1.1</f>
        <v>33</v>
      </c>
      <c r="K122" s="148">
        <f t="shared" si="1"/>
        <v>10.000000000000014</v>
      </c>
      <c r="L122" s="148">
        <f t="shared" si="1"/>
        <v>10.000000000000014</v>
      </c>
      <c r="M122" s="148">
        <f t="shared" si="1"/>
        <v>10.000000000000014</v>
      </c>
      <c r="N122" s="148"/>
      <c r="O122" s="148" t="s">
        <v>112</v>
      </c>
      <c r="P122" s="135"/>
    </row>
    <row r="123" spans="1:16" x14ac:dyDescent="0.25">
      <c r="A123" s="150" t="s">
        <v>219</v>
      </c>
      <c r="B123" s="146" t="s">
        <v>481</v>
      </c>
      <c r="C123" s="147"/>
      <c r="D123" s="147"/>
      <c r="E123" s="147"/>
      <c r="F123" s="150" t="s">
        <v>219</v>
      </c>
      <c r="G123" s="146" t="s">
        <v>481</v>
      </c>
      <c r="H123" s="266"/>
      <c r="I123" s="266"/>
      <c r="J123" s="266"/>
      <c r="K123" s="148"/>
      <c r="L123" s="148"/>
      <c r="M123" s="148"/>
      <c r="N123" s="148"/>
      <c r="O123" s="142"/>
      <c r="P123" s="135"/>
    </row>
    <row r="124" spans="1:16" x14ac:dyDescent="0.25">
      <c r="A124" s="150" t="s">
        <v>567</v>
      </c>
      <c r="B124" s="146" t="s">
        <v>586</v>
      </c>
      <c r="C124" s="147">
        <v>90</v>
      </c>
      <c r="D124" s="147">
        <v>56</v>
      </c>
      <c r="E124" s="147">
        <v>27</v>
      </c>
      <c r="F124" s="150" t="s">
        <v>567</v>
      </c>
      <c r="G124" s="146" t="s">
        <v>586</v>
      </c>
      <c r="H124" s="266">
        <f>90*1.1</f>
        <v>99.000000000000014</v>
      </c>
      <c r="I124" s="266">
        <f>56*1.1</f>
        <v>61.600000000000009</v>
      </c>
      <c r="J124" s="266">
        <f>27*1.1</f>
        <v>29.700000000000003</v>
      </c>
      <c r="K124" s="148">
        <f t="shared" si="1"/>
        <v>10.000000000000014</v>
      </c>
      <c r="L124" s="148">
        <f t="shared" si="1"/>
        <v>10.000000000000014</v>
      </c>
      <c r="M124" s="148">
        <f t="shared" si="1"/>
        <v>10.000000000000014</v>
      </c>
      <c r="N124" s="148"/>
      <c r="O124" s="148" t="s">
        <v>112</v>
      </c>
      <c r="P124" s="135"/>
    </row>
    <row r="125" spans="1:16" x14ac:dyDescent="0.25">
      <c r="A125" s="150" t="s">
        <v>567</v>
      </c>
      <c r="B125" s="146" t="s">
        <v>485</v>
      </c>
      <c r="C125" s="147">
        <v>80</v>
      </c>
      <c r="D125" s="147">
        <v>40</v>
      </c>
      <c r="E125" s="147">
        <v>25</v>
      </c>
      <c r="F125" s="150" t="s">
        <v>567</v>
      </c>
      <c r="G125" s="146" t="s">
        <v>485</v>
      </c>
      <c r="H125" s="266">
        <f>80*1.1</f>
        <v>88</v>
      </c>
      <c r="I125" s="266">
        <f>40*1.1</f>
        <v>44</v>
      </c>
      <c r="J125" s="266">
        <f>25*1.1</f>
        <v>27.500000000000004</v>
      </c>
      <c r="K125" s="148">
        <f t="shared" si="1"/>
        <v>10.000000000000014</v>
      </c>
      <c r="L125" s="148">
        <f t="shared" si="1"/>
        <v>10.000000000000014</v>
      </c>
      <c r="M125" s="148">
        <f t="shared" si="1"/>
        <v>10.000000000000014</v>
      </c>
      <c r="N125" s="148"/>
      <c r="O125" s="148" t="s">
        <v>112</v>
      </c>
      <c r="P125" s="135"/>
    </row>
    <row r="126" spans="1:16" ht="36.75" customHeight="1" x14ac:dyDescent="0.25">
      <c r="A126" s="139">
        <v>10</v>
      </c>
      <c r="B126" s="143" t="s">
        <v>589</v>
      </c>
      <c r="C126" s="147">
        <v>600</v>
      </c>
      <c r="D126" s="147">
        <v>300</v>
      </c>
      <c r="E126" s="147">
        <v>180</v>
      </c>
      <c r="F126" s="139">
        <v>10</v>
      </c>
      <c r="G126" s="143" t="s">
        <v>589</v>
      </c>
      <c r="H126" s="266">
        <f>600*1.1</f>
        <v>660</v>
      </c>
      <c r="I126" s="266">
        <f>300*1.1</f>
        <v>330</v>
      </c>
      <c r="J126" s="266">
        <f>180*1.1</f>
        <v>198.00000000000003</v>
      </c>
      <c r="K126" s="148">
        <f t="shared" si="1"/>
        <v>10.000000000000014</v>
      </c>
      <c r="L126" s="148">
        <f t="shared" si="1"/>
        <v>10.000000000000014</v>
      </c>
      <c r="M126" s="148">
        <f t="shared" si="1"/>
        <v>10.000000000000014</v>
      </c>
      <c r="N126" s="148"/>
      <c r="O126" s="148" t="s">
        <v>112</v>
      </c>
      <c r="P126" s="135"/>
    </row>
  </sheetData>
  <mergeCells count="14">
    <mergeCell ref="N3:N4"/>
    <mergeCell ref="O3:O4"/>
    <mergeCell ref="A5:E5"/>
    <mergeCell ref="F5:J5"/>
    <mergeCell ref="A1:N1"/>
    <mergeCell ref="C2:E2"/>
    <mergeCell ref="A3:A4"/>
    <mergeCell ref="B3:B4"/>
    <mergeCell ref="C3:E3"/>
    <mergeCell ref="F3:F4"/>
    <mergeCell ref="G3:G4"/>
    <mergeCell ref="H3:J3"/>
    <mergeCell ref="K3:M3"/>
    <mergeCell ref="G2:J2"/>
  </mergeCells>
  <pageMargins left="0.28740157500000002" right="0.19055118110236199" top="0.49055118110236201" bottom="0.140551181" header="0.118110236220472" footer="0.118110236220472"/>
  <pageSetup paperSize="9" scale="90" firstPageNumber="30" orientation="portrait" useFirstPageNumber="1" r:id="rId1"/>
  <headerFooter>
    <oddHeader>&amp;C&amp;P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8"/>
  <sheetViews>
    <sheetView topLeftCell="F1" zoomScaleNormal="100" workbookViewId="0">
      <selection activeCell="AF12" sqref="AF12"/>
    </sheetView>
  </sheetViews>
  <sheetFormatPr defaultRowHeight="16.5" x14ac:dyDescent="0.25"/>
  <cols>
    <col min="1" max="1" width="9.85546875" style="158" hidden="1" customWidth="1"/>
    <col min="2" max="2" width="27.5703125" style="158" hidden="1" customWidth="1"/>
    <col min="3" max="5" width="9.85546875" style="158" hidden="1" customWidth="1"/>
    <col min="6" max="6" width="7.5703125" style="158" customWidth="1"/>
    <col min="7" max="7" width="57.140625" style="158" customWidth="1"/>
    <col min="8" max="8" width="12" style="158" customWidth="1"/>
    <col min="9" max="9" width="13.85546875" style="158" customWidth="1"/>
    <col min="10" max="10" width="11.85546875" style="158" customWidth="1"/>
    <col min="11" max="11" width="18" style="158" hidden="1" customWidth="1"/>
    <col min="12" max="12" width="17.42578125" style="158" hidden="1" customWidth="1"/>
    <col min="13" max="19" width="2.5703125" style="158" hidden="1" customWidth="1"/>
    <col min="20" max="20" width="2.140625" style="158" customWidth="1"/>
    <col min="21" max="256" width="2.5703125" style="158" customWidth="1"/>
    <col min="257" max="257" width="9.85546875" style="158" customWidth="1"/>
    <col min="258" max="258" width="27.5703125" style="158" customWidth="1"/>
    <col min="259" max="261" width="9.85546875" style="158" customWidth="1"/>
    <col min="262" max="262" width="8.42578125" style="158" customWidth="1"/>
    <col min="263" max="263" width="32.28515625" style="158" customWidth="1"/>
    <col min="264" max="266" width="10.140625" style="158" customWidth="1"/>
    <col min="267" max="267" width="18" style="158" customWidth="1"/>
    <col min="268" max="512" width="2.5703125" style="158" customWidth="1"/>
    <col min="513" max="513" width="9.85546875" style="158" customWidth="1"/>
    <col min="514" max="514" width="27.5703125" style="158" customWidth="1"/>
    <col min="515" max="517" width="9.85546875" style="158" customWidth="1"/>
    <col min="518" max="518" width="8.42578125" style="158" customWidth="1"/>
    <col min="519" max="519" width="32.28515625" style="158" customWidth="1"/>
    <col min="520" max="522" width="10.140625" style="158" customWidth="1"/>
    <col min="523" max="523" width="18" style="158" customWidth="1"/>
    <col min="524" max="768" width="2.5703125" style="158" customWidth="1"/>
    <col min="769" max="769" width="9.85546875" style="158" customWidth="1"/>
    <col min="770" max="770" width="27.5703125" style="158" customWidth="1"/>
    <col min="771" max="773" width="9.85546875" style="158" customWidth="1"/>
    <col min="774" max="774" width="8.42578125" style="158" customWidth="1"/>
    <col min="775" max="775" width="32.28515625" style="158" customWidth="1"/>
    <col min="776" max="778" width="10.140625" style="158" customWidth="1"/>
    <col min="779" max="779" width="18" style="158" customWidth="1"/>
    <col min="780" max="1024" width="2.5703125" style="158" customWidth="1"/>
    <col min="1025" max="1025" width="9.85546875" style="158" customWidth="1"/>
    <col min="1026" max="1026" width="27.5703125" style="158" customWidth="1"/>
    <col min="1027" max="1029" width="9.85546875" style="158" customWidth="1"/>
    <col min="1030" max="1030" width="8.42578125" style="158" customWidth="1"/>
    <col min="1031" max="1031" width="32.28515625" style="158" customWidth="1"/>
    <col min="1032" max="1034" width="10.140625" style="158" customWidth="1"/>
    <col min="1035" max="1035" width="18" style="158" customWidth="1"/>
    <col min="1036" max="1280" width="2.5703125" style="158" customWidth="1"/>
    <col min="1281" max="1281" width="9.85546875" style="158" customWidth="1"/>
    <col min="1282" max="1282" width="27.5703125" style="158" customWidth="1"/>
    <col min="1283" max="1285" width="9.85546875" style="158" customWidth="1"/>
    <col min="1286" max="1286" width="8.42578125" style="158" customWidth="1"/>
    <col min="1287" max="1287" width="32.28515625" style="158" customWidth="1"/>
    <col min="1288" max="1290" width="10.140625" style="158" customWidth="1"/>
    <col min="1291" max="1291" width="18" style="158" customWidth="1"/>
    <col min="1292" max="1536" width="2.5703125" style="158" customWidth="1"/>
    <col min="1537" max="1537" width="9.85546875" style="158" customWidth="1"/>
    <col min="1538" max="1538" width="27.5703125" style="158" customWidth="1"/>
    <col min="1539" max="1541" width="9.85546875" style="158" customWidth="1"/>
    <col min="1542" max="1542" width="8.42578125" style="158" customWidth="1"/>
    <col min="1543" max="1543" width="32.28515625" style="158" customWidth="1"/>
    <col min="1544" max="1546" width="10.140625" style="158" customWidth="1"/>
    <col min="1547" max="1547" width="18" style="158" customWidth="1"/>
    <col min="1548" max="1792" width="2.5703125" style="158" customWidth="1"/>
    <col min="1793" max="1793" width="9.85546875" style="158" customWidth="1"/>
    <col min="1794" max="1794" width="27.5703125" style="158" customWidth="1"/>
    <col min="1795" max="1797" width="9.85546875" style="158" customWidth="1"/>
    <col min="1798" max="1798" width="8.42578125" style="158" customWidth="1"/>
    <col min="1799" max="1799" width="32.28515625" style="158" customWidth="1"/>
    <col min="1800" max="1802" width="10.140625" style="158" customWidth="1"/>
    <col min="1803" max="1803" width="18" style="158" customWidth="1"/>
    <col min="1804" max="2048" width="2.5703125" style="158" customWidth="1"/>
    <col min="2049" max="2049" width="9.85546875" style="158" customWidth="1"/>
    <col min="2050" max="2050" width="27.5703125" style="158" customWidth="1"/>
    <col min="2051" max="2053" width="9.85546875" style="158" customWidth="1"/>
    <col min="2054" max="2054" width="8.42578125" style="158" customWidth="1"/>
    <col min="2055" max="2055" width="32.28515625" style="158" customWidth="1"/>
    <col min="2056" max="2058" width="10.140625" style="158" customWidth="1"/>
    <col min="2059" max="2059" width="18" style="158" customWidth="1"/>
    <col min="2060" max="2304" width="2.5703125" style="158" customWidth="1"/>
    <col min="2305" max="2305" width="9.85546875" style="158" customWidth="1"/>
    <col min="2306" max="2306" width="27.5703125" style="158" customWidth="1"/>
    <col min="2307" max="2309" width="9.85546875" style="158" customWidth="1"/>
    <col min="2310" max="2310" width="8.42578125" style="158" customWidth="1"/>
    <col min="2311" max="2311" width="32.28515625" style="158" customWidth="1"/>
    <col min="2312" max="2314" width="10.140625" style="158" customWidth="1"/>
    <col min="2315" max="2315" width="18" style="158" customWidth="1"/>
    <col min="2316" max="2560" width="2.5703125" style="158" customWidth="1"/>
    <col min="2561" max="2561" width="9.85546875" style="158" customWidth="1"/>
    <col min="2562" max="2562" width="27.5703125" style="158" customWidth="1"/>
    <col min="2563" max="2565" width="9.85546875" style="158" customWidth="1"/>
    <col min="2566" max="2566" width="8.42578125" style="158" customWidth="1"/>
    <col min="2567" max="2567" width="32.28515625" style="158" customWidth="1"/>
    <col min="2568" max="2570" width="10.140625" style="158" customWidth="1"/>
    <col min="2571" max="2571" width="18" style="158" customWidth="1"/>
    <col min="2572" max="2816" width="2.5703125" style="158" customWidth="1"/>
    <col min="2817" max="2817" width="9.85546875" style="158" customWidth="1"/>
    <col min="2818" max="2818" width="27.5703125" style="158" customWidth="1"/>
    <col min="2819" max="2821" width="9.85546875" style="158" customWidth="1"/>
    <col min="2822" max="2822" width="8.42578125" style="158" customWidth="1"/>
    <col min="2823" max="2823" width="32.28515625" style="158" customWidth="1"/>
    <col min="2824" max="2826" width="10.140625" style="158" customWidth="1"/>
    <col min="2827" max="2827" width="18" style="158" customWidth="1"/>
    <col min="2828" max="3072" width="2.5703125" style="158" customWidth="1"/>
    <col min="3073" max="3073" width="9.85546875" style="158" customWidth="1"/>
    <col min="3074" max="3074" width="27.5703125" style="158" customWidth="1"/>
    <col min="3075" max="3077" width="9.85546875" style="158" customWidth="1"/>
    <col min="3078" max="3078" width="8.42578125" style="158" customWidth="1"/>
    <col min="3079" max="3079" width="32.28515625" style="158" customWidth="1"/>
    <col min="3080" max="3082" width="10.140625" style="158" customWidth="1"/>
    <col min="3083" max="3083" width="18" style="158" customWidth="1"/>
    <col min="3084" max="3328" width="2.5703125" style="158" customWidth="1"/>
    <col min="3329" max="3329" width="9.85546875" style="158" customWidth="1"/>
    <col min="3330" max="3330" width="27.5703125" style="158" customWidth="1"/>
    <col min="3331" max="3333" width="9.85546875" style="158" customWidth="1"/>
    <col min="3334" max="3334" width="8.42578125" style="158" customWidth="1"/>
    <col min="3335" max="3335" width="32.28515625" style="158" customWidth="1"/>
    <col min="3336" max="3338" width="10.140625" style="158" customWidth="1"/>
    <col min="3339" max="3339" width="18" style="158" customWidth="1"/>
    <col min="3340" max="3584" width="2.5703125" style="158" customWidth="1"/>
    <col min="3585" max="3585" width="9.85546875" style="158" customWidth="1"/>
    <col min="3586" max="3586" width="27.5703125" style="158" customWidth="1"/>
    <col min="3587" max="3589" width="9.85546875" style="158" customWidth="1"/>
    <col min="3590" max="3590" width="8.42578125" style="158" customWidth="1"/>
    <col min="3591" max="3591" width="32.28515625" style="158" customWidth="1"/>
    <col min="3592" max="3594" width="10.140625" style="158" customWidth="1"/>
    <col min="3595" max="3595" width="18" style="158" customWidth="1"/>
    <col min="3596" max="3840" width="2.5703125" style="158" customWidth="1"/>
    <col min="3841" max="3841" width="9.85546875" style="158" customWidth="1"/>
    <col min="3842" max="3842" width="27.5703125" style="158" customWidth="1"/>
    <col min="3843" max="3845" width="9.85546875" style="158" customWidth="1"/>
    <col min="3846" max="3846" width="8.42578125" style="158" customWidth="1"/>
    <col min="3847" max="3847" width="32.28515625" style="158" customWidth="1"/>
    <col min="3848" max="3850" width="10.140625" style="158" customWidth="1"/>
    <col min="3851" max="3851" width="18" style="158" customWidth="1"/>
    <col min="3852" max="4096" width="2.5703125" style="158" customWidth="1"/>
    <col min="4097" max="4097" width="9.85546875" style="158" customWidth="1"/>
    <col min="4098" max="4098" width="27.5703125" style="158" customWidth="1"/>
    <col min="4099" max="4101" width="9.85546875" style="158" customWidth="1"/>
    <col min="4102" max="4102" width="8.42578125" style="158" customWidth="1"/>
    <col min="4103" max="4103" width="32.28515625" style="158" customWidth="1"/>
    <col min="4104" max="4106" width="10.140625" style="158" customWidth="1"/>
    <col min="4107" max="4107" width="18" style="158" customWidth="1"/>
    <col min="4108" max="4352" width="2.5703125" style="158" customWidth="1"/>
    <col min="4353" max="4353" width="9.85546875" style="158" customWidth="1"/>
    <col min="4354" max="4354" width="27.5703125" style="158" customWidth="1"/>
    <col min="4355" max="4357" width="9.85546875" style="158" customWidth="1"/>
    <col min="4358" max="4358" width="8.42578125" style="158" customWidth="1"/>
    <col min="4359" max="4359" width="32.28515625" style="158" customWidth="1"/>
    <col min="4360" max="4362" width="10.140625" style="158" customWidth="1"/>
    <col min="4363" max="4363" width="18" style="158" customWidth="1"/>
    <col min="4364" max="4608" width="2.5703125" style="158" customWidth="1"/>
    <col min="4609" max="4609" width="9.85546875" style="158" customWidth="1"/>
    <col min="4610" max="4610" width="27.5703125" style="158" customWidth="1"/>
    <col min="4611" max="4613" width="9.85546875" style="158" customWidth="1"/>
    <col min="4614" max="4614" width="8.42578125" style="158" customWidth="1"/>
    <col min="4615" max="4615" width="32.28515625" style="158" customWidth="1"/>
    <col min="4616" max="4618" width="10.140625" style="158" customWidth="1"/>
    <col min="4619" max="4619" width="18" style="158" customWidth="1"/>
    <col min="4620" max="4864" width="2.5703125" style="158" customWidth="1"/>
    <col min="4865" max="4865" width="9.85546875" style="158" customWidth="1"/>
    <col min="4866" max="4866" width="27.5703125" style="158" customWidth="1"/>
    <col min="4867" max="4869" width="9.85546875" style="158" customWidth="1"/>
    <col min="4870" max="4870" width="8.42578125" style="158" customWidth="1"/>
    <col min="4871" max="4871" width="32.28515625" style="158" customWidth="1"/>
    <col min="4872" max="4874" width="10.140625" style="158" customWidth="1"/>
    <col min="4875" max="4875" width="18" style="158" customWidth="1"/>
    <col min="4876" max="5120" width="2.5703125" style="158" customWidth="1"/>
    <col min="5121" max="5121" width="9.85546875" style="158" customWidth="1"/>
    <col min="5122" max="5122" width="27.5703125" style="158" customWidth="1"/>
    <col min="5123" max="5125" width="9.85546875" style="158" customWidth="1"/>
    <col min="5126" max="5126" width="8.42578125" style="158" customWidth="1"/>
    <col min="5127" max="5127" width="32.28515625" style="158" customWidth="1"/>
    <col min="5128" max="5130" width="10.140625" style="158" customWidth="1"/>
    <col min="5131" max="5131" width="18" style="158" customWidth="1"/>
    <col min="5132" max="5376" width="2.5703125" style="158" customWidth="1"/>
    <col min="5377" max="5377" width="9.85546875" style="158" customWidth="1"/>
    <col min="5378" max="5378" width="27.5703125" style="158" customWidth="1"/>
    <col min="5379" max="5381" width="9.85546875" style="158" customWidth="1"/>
    <col min="5382" max="5382" width="8.42578125" style="158" customWidth="1"/>
    <col min="5383" max="5383" width="32.28515625" style="158" customWidth="1"/>
    <col min="5384" max="5386" width="10.140625" style="158" customWidth="1"/>
    <col min="5387" max="5387" width="18" style="158" customWidth="1"/>
    <col min="5388" max="5632" width="2.5703125" style="158" customWidth="1"/>
    <col min="5633" max="5633" width="9.85546875" style="158" customWidth="1"/>
    <col min="5634" max="5634" width="27.5703125" style="158" customWidth="1"/>
    <col min="5635" max="5637" width="9.85546875" style="158" customWidth="1"/>
    <col min="5638" max="5638" width="8.42578125" style="158" customWidth="1"/>
    <col min="5639" max="5639" width="32.28515625" style="158" customWidth="1"/>
    <col min="5640" max="5642" width="10.140625" style="158" customWidth="1"/>
    <col min="5643" max="5643" width="18" style="158" customWidth="1"/>
    <col min="5644" max="5888" width="2.5703125" style="158" customWidth="1"/>
    <col min="5889" max="5889" width="9.85546875" style="158" customWidth="1"/>
    <col min="5890" max="5890" width="27.5703125" style="158" customWidth="1"/>
    <col min="5891" max="5893" width="9.85546875" style="158" customWidth="1"/>
    <col min="5894" max="5894" width="8.42578125" style="158" customWidth="1"/>
    <col min="5895" max="5895" width="32.28515625" style="158" customWidth="1"/>
    <col min="5896" max="5898" width="10.140625" style="158" customWidth="1"/>
    <col min="5899" max="5899" width="18" style="158" customWidth="1"/>
    <col min="5900" max="6144" width="2.5703125" style="158" customWidth="1"/>
    <col min="6145" max="6145" width="9.85546875" style="158" customWidth="1"/>
    <col min="6146" max="6146" width="27.5703125" style="158" customWidth="1"/>
    <col min="6147" max="6149" width="9.85546875" style="158" customWidth="1"/>
    <col min="6150" max="6150" width="8.42578125" style="158" customWidth="1"/>
    <col min="6151" max="6151" width="32.28515625" style="158" customWidth="1"/>
    <col min="6152" max="6154" width="10.140625" style="158" customWidth="1"/>
    <col min="6155" max="6155" width="18" style="158" customWidth="1"/>
    <col min="6156" max="6400" width="2.5703125" style="158" customWidth="1"/>
    <col min="6401" max="6401" width="9.85546875" style="158" customWidth="1"/>
    <col min="6402" max="6402" width="27.5703125" style="158" customWidth="1"/>
    <col min="6403" max="6405" width="9.85546875" style="158" customWidth="1"/>
    <col min="6406" max="6406" width="8.42578125" style="158" customWidth="1"/>
    <col min="6407" max="6407" width="32.28515625" style="158" customWidth="1"/>
    <col min="6408" max="6410" width="10.140625" style="158" customWidth="1"/>
    <col min="6411" max="6411" width="18" style="158" customWidth="1"/>
    <col min="6412" max="6656" width="2.5703125" style="158" customWidth="1"/>
    <col min="6657" max="6657" width="9.85546875" style="158" customWidth="1"/>
    <col min="6658" max="6658" width="27.5703125" style="158" customWidth="1"/>
    <col min="6659" max="6661" width="9.85546875" style="158" customWidth="1"/>
    <col min="6662" max="6662" width="8.42578125" style="158" customWidth="1"/>
    <col min="6663" max="6663" width="32.28515625" style="158" customWidth="1"/>
    <col min="6664" max="6666" width="10.140625" style="158" customWidth="1"/>
    <col min="6667" max="6667" width="18" style="158" customWidth="1"/>
    <col min="6668" max="6912" width="2.5703125" style="158" customWidth="1"/>
    <col min="6913" max="6913" width="9.85546875" style="158" customWidth="1"/>
    <col min="6914" max="6914" width="27.5703125" style="158" customWidth="1"/>
    <col min="6915" max="6917" width="9.85546875" style="158" customWidth="1"/>
    <col min="6918" max="6918" width="8.42578125" style="158" customWidth="1"/>
    <col min="6919" max="6919" width="32.28515625" style="158" customWidth="1"/>
    <col min="6920" max="6922" width="10.140625" style="158" customWidth="1"/>
    <col min="6923" max="6923" width="18" style="158" customWidth="1"/>
    <col min="6924" max="7168" width="2.5703125" style="158" customWidth="1"/>
    <col min="7169" max="7169" width="9.85546875" style="158" customWidth="1"/>
    <col min="7170" max="7170" width="27.5703125" style="158" customWidth="1"/>
    <col min="7171" max="7173" width="9.85546875" style="158" customWidth="1"/>
    <col min="7174" max="7174" width="8.42578125" style="158" customWidth="1"/>
    <col min="7175" max="7175" width="32.28515625" style="158" customWidth="1"/>
    <col min="7176" max="7178" width="10.140625" style="158" customWidth="1"/>
    <col min="7179" max="7179" width="18" style="158" customWidth="1"/>
    <col min="7180" max="7424" width="2.5703125" style="158" customWidth="1"/>
    <col min="7425" max="7425" width="9.85546875" style="158" customWidth="1"/>
    <col min="7426" max="7426" width="27.5703125" style="158" customWidth="1"/>
    <col min="7427" max="7429" width="9.85546875" style="158" customWidth="1"/>
    <col min="7430" max="7430" width="8.42578125" style="158" customWidth="1"/>
    <col min="7431" max="7431" width="32.28515625" style="158" customWidth="1"/>
    <col min="7432" max="7434" width="10.140625" style="158" customWidth="1"/>
    <col min="7435" max="7435" width="18" style="158" customWidth="1"/>
    <col min="7436" max="7680" width="2.5703125" style="158" customWidth="1"/>
    <col min="7681" max="7681" width="9.85546875" style="158" customWidth="1"/>
    <col min="7682" max="7682" width="27.5703125" style="158" customWidth="1"/>
    <col min="7683" max="7685" width="9.85546875" style="158" customWidth="1"/>
    <col min="7686" max="7686" width="8.42578125" style="158" customWidth="1"/>
    <col min="7687" max="7687" width="32.28515625" style="158" customWidth="1"/>
    <col min="7688" max="7690" width="10.140625" style="158" customWidth="1"/>
    <col min="7691" max="7691" width="18" style="158" customWidth="1"/>
    <col min="7692" max="7936" width="2.5703125" style="158" customWidth="1"/>
    <col min="7937" max="7937" width="9.85546875" style="158" customWidth="1"/>
    <col min="7938" max="7938" width="27.5703125" style="158" customWidth="1"/>
    <col min="7939" max="7941" width="9.85546875" style="158" customWidth="1"/>
    <col min="7942" max="7942" width="8.42578125" style="158" customWidth="1"/>
    <col min="7943" max="7943" width="32.28515625" style="158" customWidth="1"/>
    <col min="7944" max="7946" width="10.140625" style="158" customWidth="1"/>
    <col min="7947" max="7947" width="18" style="158" customWidth="1"/>
    <col min="7948" max="8192" width="2.5703125" style="158" customWidth="1"/>
    <col min="8193" max="8193" width="9.85546875" style="158" customWidth="1"/>
    <col min="8194" max="8194" width="27.5703125" style="158" customWidth="1"/>
    <col min="8195" max="8197" width="9.85546875" style="158" customWidth="1"/>
    <col min="8198" max="8198" width="8.42578125" style="158" customWidth="1"/>
    <col min="8199" max="8199" width="32.28515625" style="158" customWidth="1"/>
    <col min="8200" max="8202" width="10.140625" style="158" customWidth="1"/>
    <col min="8203" max="8203" width="18" style="158" customWidth="1"/>
    <col min="8204" max="8448" width="2.5703125" style="158" customWidth="1"/>
    <col min="8449" max="8449" width="9.85546875" style="158" customWidth="1"/>
    <col min="8450" max="8450" width="27.5703125" style="158" customWidth="1"/>
    <col min="8451" max="8453" width="9.85546875" style="158" customWidth="1"/>
    <col min="8454" max="8454" width="8.42578125" style="158" customWidth="1"/>
    <col min="8455" max="8455" width="32.28515625" style="158" customWidth="1"/>
    <col min="8456" max="8458" width="10.140625" style="158" customWidth="1"/>
    <col min="8459" max="8459" width="18" style="158" customWidth="1"/>
    <col min="8460" max="8704" width="2.5703125" style="158" customWidth="1"/>
    <col min="8705" max="8705" width="9.85546875" style="158" customWidth="1"/>
    <col min="8706" max="8706" width="27.5703125" style="158" customWidth="1"/>
    <col min="8707" max="8709" width="9.85546875" style="158" customWidth="1"/>
    <col min="8710" max="8710" width="8.42578125" style="158" customWidth="1"/>
    <col min="8711" max="8711" width="32.28515625" style="158" customWidth="1"/>
    <col min="8712" max="8714" width="10.140625" style="158" customWidth="1"/>
    <col min="8715" max="8715" width="18" style="158" customWidth="1"/>
    <col min="8716" max="8960" width="2.5703125" style="158" customWidth="1"/>
    <col min="8961" max="8961" width="9.85546875" style="158" customWidth="1"/>
    <col min="8962" max="8962" width="27.5703125" style="158" customWidth="1"/>
    <col min="8963" max="8965" width="9.85546875" style="158" customWidth="1"/>
    <col min="8966" max="8966" width="8.42578125" style="158" customWidth="1"/>
    <col min="8967" max="8967" width="32.28515625" style="158" customWidth="1"/>
    <col min="8968" max="8970" width="10.140625" style="158" customWidth="1"/>
    <col min="8971" max="8971" width="18" style="158" customWidth="1"/>
    <col min="8972" max="9216" width="2.5703125" style="158" customWidth="1"/>
    <col min="9217" max="9217" width="9.85546875" style="158" customWidth="1"/>
    <col min="9218" max="9218" width="27.5703125" style="158" customWidth="1"/>
    <col min="9219" max="9221" width="9.85546875" style="158" customWidth="1"/>
    <col min="9222" max="9222" width="8.42578125" style="158" customWidth="1"/>
    <col min="9223" max="9223" width="32.28515625" style="158" customWidth="1"/>
    <col min="9224" max="9226" width="10.140625" style="158" customWidth="1"/>
    <col min="9227" max="9227" width="18" style="158" customWidth="1"/>
    <col min="9228" max="9472" width="2.5703125" style="158" customWidth="1"/>
    <col min="9473" max="9473" width="9.85546875" style="158" customWidth="1"/>
    <col min="9474" max="9474" width="27.5703125" style="158" customWidth="1"/>
    <col min="9475" max="9477" width="9.85546875" style="158" customWidth="1"/>
    <col min="9478" max="9478" width="8.42578125" style="158" customWidth="1"/>
    <col min="9479" max="9479" width="32.28515625" style="158" customWidth="1"/>
    <col min="9480" max="9482" width="10.140625" style="158" customWidth="1"/>
    <col min="9483" max="9483" width="18" style="158" customWidth="1"/>
    <col min="9484" max="9728" width="2.5703125" style="158" customWidth="1"/>
    <col min="9729" max="9729" width="9.85546875" style="158" customWidth="1"/>
    <col min="9730" max="9730" width="27.5703125" style="158" customWidth="1"/>
    <col min="9731" max="9733" width="9.85546875" style="158" customWidth="1"/>
    <col min="9734" max="9734" width="8.42578125" style="158" customWidth="1"/>
    <col min="9735" max="9735" width="32.28515625" style="158" customWidth="1"/>
    <col min="9736" max="9738" width="10.140625" style="158" customWidth="1"/>
    <col min="9739" max="9739" width="18" style="158" customWidth="1"/>
    <col min="9740" max="9984" width="2.5703125" style="158" customWidth="1"/>
    <col min="9985" max="9985" width="9.85546875" style="158" customWidth="1"/>
    <col min="9986" max="9986" width="27.5703125" style="158" customWidth="1"/>
    <col min="9987" max="9989" width="9.85546875" style="158" customWidth="1"/>
    <col min="9990" max="9990" width="8.42578125" style="158" customWidth="1"/>
    <col min="9991" max="9991" width="32.28515625" style="158" customWidth="1"/>
    <col min="9992" max="9994" width="10.140625" style="158" customWidth="1"/>
    <col min="9995" max="9995" width="18" style="158" customWidth="1"/>
    <col min="9996" max="10240" width="2.5703125" style="158" customWidth="1"/>
    <col min="10241" max="10241" width="9.85546875" style="158" customWidth="1"/>
    <col min="10242" max="10242" width="27.5703125" style="158" customWidth="1"/>
    <col min="10243" max="10245" width="9.85546875" style="158" customWidth="1"/>
    <col min="10246" max="10246" width="8.42578125" style="158" customWidth="1"/>
    <col min="10247" max="10247" width="32.28515625" style="158" customWidth="1"/>
    <col min="10248" max="10250" width="10.140625" style="158" customWidth="1"/>
    <col min="10251" max="10251" width="18" style="158" customWidth="1"/>
    <col min="10252" max="10496" width="2.5703125" style="158" customWidth="1"/>
    <col min="10497" max="10497" width="9.85546875" style="158" customWidth="1"/>
    <col min="10498" max="10498" width="27.5703125" style="158" customWidth="1"/>
    <col min="10499" max="10501" width="9.85546875" style="158" customWidth="1"/>
    <col min="10502" max="10502" width="8.42578125" style="158" customWidth="1"/>
    <col min="10503" max="10503" width="32.28515625" style="158" customWidth="1"/>
    <col min="10504" max="10506" width="10.140625" style="158" customWidth="1"/>
    <col min="10507" max="10507" width="18" style="158" customWidth="1"/>
    <col min="10508" max="10752" width="2.5703125" style="158" customWidth="1"/>
    <col min="10753" max="10753" width="9.85546875" style="158" customWidth="1"/>
    <col min="10754" max="10754" width="27.5703125" style="158" customWidth="1"/>
    <col min="10755" max="10757" width="9.85546875" style="158" customWidth="1"/>
    <col min="10758" max="10758" width="8.42578125" style="158" customWidth="1"/>
    <col min="10759" max="10759" width="32.28515625" style="158" customWidth="1"/>
    <col min="10760" max="10762" width="10.140625" style="158" customWidth="1"/>
    <col min="10763" max="10763" width="18" style="158" customWidth="1"/>
    <col min="10764" max="11008" width="2.5703125" style="158" customWidth="1"/>
    <col min="11009" max="11009" width="9.85546875" style="158" customWidth="1"/>
    <col min="11010" max="11010" width="27.5703125" style="158" customWidth="1"/>
    <col min="11011" max="11013" width="9.85546875" style="158" customWidth="1"/>
    <col min="11014" max="11014" width="8.42578125" style="158" customWidth="1"/>
    <col min="11015" max="11015" width="32.28515625" style="158" customWidth="1"/>
    <col min="11016" max="11018" width="10.140625" style="158" customWidth="1"/>
    <col min="11019" max="11019" width="18" style="158" customWidth="1"/>
    <col min="11020" max="11264" width="2.5703125" style="158" customWidth="1"/>
    <col min="11265" max="11265" width="9.85546875" style="158" customWidth="1"/>
    <col min="11266" max="11266" width="27.5703125" style="158" customWidth="1"/>
    <col min="11267" max="11269" width="9.85546875" style="158" customWidth="1"/>
    <col min="11270" max="11270" width="8.42578125" style="158" customWidth="1"/>
    <col min="11271" max="11271" width="32.28515625" style="158" customWidth="1"/>
    <col min="11272" max="11274" width="10.140625" style="158" customWidth="1"/>
    <col min="11275" max="11275" width="18" style="158" customWidth="1"/>
    <col min="11276" max="11520" width="2.5703125" style="158" customWidth="1"/>
    <col min="11521" max="11521" width="9.85546875" style="158" customWidth="1"/>
    <col min="11522" max="11522" width="27.5703125" style="158" customWidth="1"/>
    <col min="11523" max="11525" width="9.85546875" style="158" customWidth="1"/>
    <col min="11526" max="11526" width="8.42578125" style="158" customWidth="1"/>
    <col min="11527" max="11527" width="32.28515625" style="158" customWidth="1"/>
    <col min="11528" max="11530" width="10.140625" style="158" customWidth="1"/>
    <col min="11531" max="11531" width="18" style="158" customWidth="1"/>
    <col min="11532" max="11776" width="2.5703125" style="158" customWidth="1"/>
    <col min="11777" max="11777" width="9.85546875" style="158" customWidth="1"/>
    <col min="11778" max="11778" width="27.5703125" style="158" customWidth="1"/>
    <col min="11779" max="11781" width="9.85546875" style="158" customWidth="1"/>
    <col min="11782" max="11782" width="8.42578125" style="158" customWidth="1"/>
    <col min="11783" max="11783" width="32.28515625" style="158" customWidth="1"/>
    <col min="11784" max="11786" width="10.140625" style="158" customWidth="1"/>
    <col min="11787" max="11787" width="18" style="158" customWidth="1"/>
    <col min="11788" max="12032" width="2.5703125" style="158" customWidth="1"/>
    <col min="12033" max="12033" width="9.85546875" style="158" customWidth="1"/>
    <col min="12034" max="12034" width="27.5703125" style="158" customWidth="1"/>
    <col min="12035" max="12037" width="9.85546875" style="158" customWidth="1"/>
    <col min="12038" max="12038" width="8.42578125" style="158" customWidth="1"/>
    <col min="12039" max="12039" width="32.28515625" style="158" customWidth="1"/>
    <col min="12040" max="12042" width="10.140625" style="158" customWidth="1"/>
    <col min="12043" max="12043" width="18" style="158" customWidth="1"/>
    <col min="12044" max="12288" width="2.5703125" style="158" customWidth="1"/>
    <col min="12289" max="12289" width="9.85546875" style="158" customWidth="1"/>
    <col min="12290" max="12290" width="27.5703125" style="158" customWidth="1"/>
    <col min="12291" max="12293" width="9.85546875" style="158" customWidth="1"/>
    <col min="12294" max="12294" width="8.42578125" style="158" customWidth="1"/>
    <col min="12295" max="12295" width="32.28515625" style="158" customWidth="1"/>
    <col min="12296" max="12298" width="10.140625" style="158" customWidth="1"/>
    <col min="12299" max="12299" width="18" style="158" customWidth="1"/>
    <col min="12300" max="12544" width="2.5703125" style="158" customWidth="1"/>
    <col min="12545" max="12545" width="9.85546875" style="158" customWidth="1"/>
    <col min="12546" max="12546" width="27.5703125" style="158" customWidth="1"/>
    <col min="12547" max="12549" width="9.85546875" style="158" customWidth="1"/>
    <col min="12550" max="12550" width="8.42578125" style="158" customWidth="1"/>
    <col min="12551" max="12551" width="32.28515625" style="158" customWidth="1"/>
    <col min="12552" max="12554" width="10.140625" style="158" customWidth="1"/>
    <col min="12555" max="12555" width="18" style="158" customWidth="1"/>
    <col min="12556" max="12800" width="2.5703125" style="158" customWidth="1"/>
    <col min="12801" max="12801" width="9.85546875" style="158" customWidth="1"/>
    <col min="12802" max="12802" width="27.5703125" style="158" customWidth="1"/>
    <col min="12803" max="12805" width="9.85546875" style="158" customWidth="1"/>
    <col min="12806" max="12806" width="8.42578125" style="158" customWidth="1"/>
    <col min="12807" max="12807" width="32.28515625" style="158" customWidth="1"/>
    <col min="12808" max="12810" width="10.140625" style="158" customWidth="1"/>
    <col min="12811" max="12811" width="18" style="158" customWidth="1"/>
    <col min="12812" max="13056" width="2.5703125" style="158" customWidth="1"/>
    <col min="13057" max="13057" width="9.85546875" style="158" customWidth="1"/>
    <col min="13058" max="13058" width="27.5703125" style="158" customWidth="1"/>
    <col min="13059" max="13061" width="9.85546875" style="158" customWidth="1"/>
    <col min="13062" max="13062" width="8.42578125" style="158" customWidth="1"/>
    <col min="13063" max="13063" width="32.28515625" style="158" customWidth="1"/>
    <col min="13064" max="13066" width="10.140625" style="158" customWidth="1"/>
    <col min="13067" max="13067" width="18" style="158" customWidth="1"/>
    <col min="13068" max="13312" width="2.5703125" style="158" customWidth="1"/>
    <col min="13313" max="13313" width="9.85546875" style="158" customWidth="1"/>
    <col min="13314" max="13314" width="27.5703125" style="158" customWidth="1"/>
    <col min="13315" max="13317" width="9.85546875" style="158" customWidth="1"/>
    <col min="13318" max="13318" width="8.42578125" style="158" customWidth="1"/>
    <col min="13319" max="13319" width="32.28515625" style="158" customWidth="1"/>
    <col min="13320" max="13322" width="10.140625" style="158" customWidth="1"/>
    <col min="13323" max="13323" width="18" style="158" customWidth="1"/>
    <col min="13324" max="13568" width="2.5703125" style="158" customWidth="1"/>
    <col min="13569" max="13569" width="9.85546875" style="158" customWidth="1"/>
    <col min="13570" max="13570" width="27.5703125" style="158" customWidth="1"/>
    <col min="13571" max="13573" width="9.85546875" style="158" customWidth="1"/>
    <col min="13574" max="13574" width="8.42578125" style="158" customWidth="1"/>
    <col min="13575" max="13575" width="32.28515625" style="158" customWidth="1"/>
    <col min="13576" max="13578" width="10.140625" style="158" customWidth="1"/>
    <col min="13579" max="13579" width="18" style="158" customWidth="1"/>
    <col min="13580" max="13824" width="2.5703125" style="158" customWidth="1"/>
    <col min="13825" max="13825" width="9.85546875" style="158" customWidth="1"/>
    <col min="13826" max="13826" width="27.5703125" style="158" customWidth="1"/>
    <col min="13827" max="13829" width="9.85546875" style="158" customWidth="1"/>
    <col min="13830" max="13830" width="8.42578125" style="158" customWidth="1"/>
    <col min="13831" max="13831" width="32.28515625" style="158" customWidth="1"/>
    <col min="13832" max="13834" width="10.140625" style="158" customWidth="1"/>
    <col min="13835" max="13835" width="18" style="158" customWidth="1"/>
    <col min="13836" max="14080" width="2.5703125" style="158" customWidth="1"/>
    <col min="14081" max="14081" width="9.85546875" style="158" customWidth="1"/>
    <col min="14082" max="14082" width="27.5703125" style="158" customWidth="1"/>
    <col min="14083" max="14085" width="9.85546875" style="158" customWidth="1"/>
    <col min="14086" max="14086" width="8.42578125" style="158" customWidth="1"/>
    <col min="14087" max="14087" width="32.28515625" style="158" customWidth="1"/>
    <col min="14088" max="14090" width="10.140625" style="158" customWidth="1"/>
    <col min="14091" max="14091" width="18" style="158" customWidth="1"/>
    <col min="14092" max="14336" width="2.5703125" style="158" customWidth="1"/>
    <col min="14337" max="14337" width="9.85546875" style="158" customWidth="1"/>
    <col min="14338" max="14338" width="27.5703125" style="158" customWidth="1"/>
    <col min="14339" max="14341" width="9.85546875" style="158" customWidth="1"/>
    <col min="14342" max="14342" width="8.42578125" style="158" customWidth="1"/>
    <col min="14343" max="14343" width="32.28515625" style="158" customWidth="1"/>
    <col min="14344" max="14346" width="10.140625" style="158" customWidth="1"/>
    <col min="14347" max="14347" width="18" style="158" customWidth="1"/>
    <col min="14348" max="14592" width="2.5703125" style="158" customWidth="1"/>
    <col min="14593" max="14593" width="9.85546875" style="158" customWidth="1"/>
    <col min="14594" max="14594" width="27.5703125" style="158" customWidth="1"/>
    <col min="14595" max="14597" width="9.85546875" style="158" customWidth="1"/>
    <col min="14598" max="14598" width="8.42578125" style="158" customWidth="1"/>
    <col min="14599" max="14599" width="32.28515625" style="158" customWidth="1"/>
    <col min="14600" max="14602" width="10.140625" style="158" customWidth="1"/>
    <col min="14603" max="14603" width="18" style="158" customWidth="1"/>
    <col min="14604" max="14848" width="2.5703125" style="158" customWidth="1"/>
    <col min="14849" max="14849" width="9.85546875" style="158" customWidth="1"/>
    <col min="14850" max="14850" width="27.5703125" style="158" customWidth="1"/>
    <col min="14851" max="14853" width="9.85546875" style="158" customWidth="1"/>
    <col min="14854" max="14854" width="8.42578125" style="158" customWidth="1"/>
    <col min="14855" max="14855" width="32.28515625" style="158" customWidth="1"/>
    <col min="14856" max="14858" width="10.140625" style="158" customWidth="1"/>
    <col min="14859" max="14859" width="18" style="158" customWidth="1"/>
    <col min="14860" max="15104" width="2.5703125" style="158" customWidth="1"/>
    <col min="15105" max="15105" width="9.85546875" style="158" customWidth="1"/>
    <col min="15106" max="15106" width="27.5703125" style="158" customWidth="1"/>
    <col min="15107" max="15109" width="9.85546875" style="158" customWidth="1"/>
    <col min="15110" max="15110" width="8.42578125" style="158" customWidth="1"/>
    <col min="15111" max="15111" width="32.28515625" style="158" customWidth="1"/>
    <col min="15112" max="15114" width="10.140625" style="158" customWidth="1"/>
    <col min="15115" max="15115" width="18" style="158" customWidth="1"/>
    <col min="15116" max="15360" width="2.5703125" style="158" customWidth="1"/>
    <col min="15361" max="15361" width="9.85546875" style="158" customWidth="1"/>
    <col min="15362" max="15362" width="27.5703125" style="158" customWidth="1"/>
    <col min="15363" max="15365" width="9.85546875" style="158" customWidth="1"/>
    <col min="15366" max="15366" width="8.42578125" style="158" customWidth="1"/>
    <col min="15367" max="15367" width="32.28515625" style="158" customWidth="1"/>
    <col min="15368" max="15370" width="10.140625" style="158" customWidth="1"/>
    <col min="15371" max="15371" width="18" style="158" customWidth="1"/>
    <col min="15372" max="15616" width="2.5703125" style="158" customWidth="1"/>
    <col min="15617" max="15617" width="9.85546875" style="158" customWidth="1"/>
    <col min="15618" max="15618" width="27.5703125" style="158" customWidth="1"/>
    <col min="15619" max="15621" width="9.85546875" style="158" customWidth="1"/>
    <col min="15622" max="15622" width="8.42578125" style="158" customWidth="1"/>
    <col min="15623" max="15623" width="32.28515625" style="158" customWidth="1"/>
    <col min="15624" max="15626" width="10.140625" style="158" customWidth="1"/>
    <col min="15627" max="15627" width="18" style="158" customWidth="1"/>
    <col min="15628" max="15872" width="2.5703125" style="158" customWidth="1"/>
    <col min="15873" max="15873" width="9.85546875" style="158" customWidth="1"/>
    <col min="15874" max="15874" width="27.5703125" style="158" customWidth="1"/>
    <col min="15875" max="15877" width="9.85546875" style="158" customWidth="1"/>
    <col min="15878" max="15878" width="8.42578125" style="158" customWidth="1"/>
    <col min="15879" max="15879" width="32.28515625" style="158" customWidth="1"/>
    <col min="15880" max="15882" width="10.140625" style="158" customWidth="1"/>
    <col min="15883" max="15883" width="18" style="158" customWidth="1"/>
    <col min="15884" max="16128" width="2.5703125" style="158" customWidth="1"/>
    <col min="16129" max="16129" width="9.85546875" style="158" customWidth="1"/>
    <col min="16130" max="16130" width="27.5703125" style="158" customWidth="1"/>
    <col min="16131" max="16133" width="9.85546875" style="158" customWidth="1"/>
    <col min="16134" max="16134" width="8.42578125" style="158" customWidth="1"/>
    <col min="16135" max="16135" width="32.28515625" style="158" customWidth="1"/>
    <col min="16136" max="16138" width="10.140625" style="158" customWidth="1"/>
    <col min="16139" max="16139" width="18" style="158" customWidth="1"/>
    <col min="16140" max="16384" width="2.5703125" style="158" customWidth="1"/>
  </cols>
  <sheetData>
    <row r="1" spans="1:12" ht="31.5" customHeight="1" x14ac:dyDescent="0.25">
      <c r="B1" s="159"/>
      <c r="C1" s="159"/>
      <c r="D1" s="159"/>
      <c r="E1" s="159"/>
      <c r="F1" s="33" t="s">
        <v>1314</v>
      </c>
      <c r="G1" s="33"/>
      <c r="H1" s="159"/>
      <c r="I1" s="159"/>
      <c r="J1" s="159"/>
      <c r="K1" s="159"/>
    </row>
    <row r="2" spans="1:12" x14ac:dyDescent="0.25">
      <c r="A2" s="160"/>
      <c r="F2" s="160"/>
      <c r="H2" s="326" t="s">
        <v>962</v>
      </c>
      <c r="I2" s="326"/>
      <c r="J2" s="326"/>
      <c r="K2" s="161"/>
      <c r="L2" s="162"/>
    </row>
    <row r="3" spans="1:12" ht="24" hidden="1" customHeight="1" x14ac:dyDescent="0.25">
      <c r="A3" s="160"/>
      <c r="F3" s="160"/>
      <c r="H3" s="327" t="s">
        <v>590</v>
      </c>
      <c r="I3" s="328"/>
      <c r="J3" s="328"/>
    </row>
    <row r="4" spans="1:12" ht="15" customHeight="1" x14ac:dyDescent="0.25">
      <c r="A4" s="329" t="s">
        <v>591</v>
      </c>
      <c r="B4" s="329"/>
      <c r="C4" s="329"/>
      <c r="D4" s="329"/>
      <c r="E4" s="329"/>
      <c r="F4" s="329" t="s">
        <v>0</v>
      </c>
      <c r="G4" s="329" t="s">
        <v>1</v>
      </c>
      <c r="H4" s="329" t="s">
        <v>1135</v>
      </c>
      <c r="I4" s="329"/>
      <c r="J4" s="329"/>
      <c r="K4" s="329" t="s">
        <v>86</v>
      </c>
    </row>
    <row r="5" spans="1:12" ht="15" customHeight="1" x14ac:dyDescent="0.25">
      <c r="A5" s="163" t="s">
        <v>0</v>
      </c>
      <c r="B5" s="163" t="s">
        <v>592</v>
      </c>
      <c r="C5" s="163" t="s">
        <v>6</v>
      </c>
      <c r="D5" s="163" t="s">
        <v>3</v>
      </c>
      <c r="E5" s="163" t="s">
        <v>7</v>
      </c>
      <c r="F5" s="329"/>
      <c r="G5" s="329"/>
      <c r="H5" s="47" t="s">
        <v>6</v>
      </c>
      <c r="I5" s="47" t="s">
        <v>3</v>
      </c>
      <c r="J5" s="47" t="s">
        <v>7</v>
      </c>
      <c r="K5" s="329"/>
    </row>
    <row r="6" spans="1:12" ht="21.75" customHeight="1" x14ac:dyDescent="0.25">
      <c r="A6" s="47" t="s">
        <v>9</v>
      </c>
      <c r="B6" s="48" t="s">
        <v>593</v>
      </c>
      <c r="C6" s="164"/>
      <c r="D6" s="164"/>
      <c r="E6" s="164"/>
      <c r="F6" s="47" t="s">
        <v>9</v>
      </c>
      <c r="G6" s="48" t="s">
        <v>593</v>
      </c>
      <c r="H6" s="49"/>
      <c r="I6" s="50"/>
      <c r="J6" s="50"/>
      <c r="K6" s="55"/>
    </row>
    <row r="7" spans="1:12" ht="21.75" customHeight="1" x14ac:dyDescent="0.25">
      <c r="A7" s="47"/>
      <c r="B7" s="48" t="s">
        <v>594</v>
      </c>
      <c r="C7" s="164"/>
      <c r="D7" s="164"/>
      <c r="E7" s="164"/>
      <c r="F7" s="47"/>
      <c r="G7" s="48" t="s">
        <v>594</v>
      </c>
      <c r="H7" s="49"/>
      <c r="I7" s="50"/>
      <c r="J7" s="50"/>
      <c r="K7" s="55"/>
    </row>
    <row r="8" spans="1:12" ht="36.75" customHeight="1" x14ac:dyDescent="0.25">
      <c r="A8" s="51"/>
      <c r="B8" s="52"/>
      <c r="C8" s="164"/>
      <c r="D8" s="164"/>
      <c r="E8" s="164"/>
      <c r="F8" s="51">
        <v>1</v>
      </c>
      <c r="G8" s="52" t="s">
        <v>595</v>
      </c>
      <c r="H8" s="53">
        <f>3000*1.1</f>
        <v>3300.0000000000005</v>
      </c>
      <c r="I8" s="54">
        <f>1300*1.1</f>
        <v>1430.0000000000002</v>
      </c>
      <c r="J8" s="54">
        <f>800*1.1</f>
        <v>880.00000000000011</v>
      </c>
      <c r="K8" s="51" t="s">
        <v>596</v>
      </c>
    </row>
    <row r="9" spans="1:12" ht="23.25" customHeight="1" x14ac:dyDescent="0.25">
      <c r="A9" s="51">
        <v>1</v>
      </c>
      <c r="B9" s="52" t="s">
        <v>597</v>
      </c>
      <c r="C9" s="49">
        <v>1400</v>
      </c>
      <c r="D9" s="164">
        <v>700</v>
      </c>
      <c r="E9" s="164">
        <v>500</v>
      </c>
      <c r="F9" s="51">
        <v>2</v>
      </c>
      <c r="G9" s="52" t="s">
        <v>598</v>
      </c>
      <c r="H9" s="53">
        <f>2200*1.1</f>
        <v>2420</v>
      </c>
      <c r="I9" s="54">
        <f>1000*1.1</f>
        <v>1100</v>
      </c>
      <c r="J9" s="54">
        <f>700*1.1</f>
        <v>770.00000000000011</v>
      </c>
      <c r="K9" s="51" t="s">
        <v>599</v>
      </c>
    </row>
    <row r="10" spans="1:12" ht="23.25" customHeight="1" x14ac:dyDescent="0.25">
      <c r="A10" s="51"/>
      <c r="B10" s="52"/>
      <c r="C10" s="164"/>
      <c r="D10" s="164"/>
      <c r="E10" s="164"/>
      <c r="F10" s="51">
        <v>3</v>
      </c>
      <c r="G10" s="52" t="s">
        <v>600</v>
      </c>
      <c r="H10" s="53">
        <f>1500*1.1</f>
        <v>1650.0000000000002</v>
      </c>
      <c r="I10" s="54">
        <f>900*1.1</f>
        <v>990.00000000000011</v>
      </c>
      <c r="J10" s="54">
        <f>450*1.1</f>
        <v>495.00000000000006</v>
      </c>
      <c r="K10" s="51" t="s">
        <v>596</v>
      </c>
    </row>
    <row r="11" spans="1:12" ht="36.75" customHeight="1" x14ac:dyDescent="0.25">
      <c r="A11" s="51">
        <v>2</v>
      </c>
      <c r="B11" s="52" t="s">
        <v>601</v>
      </c>
      <c r="C11" s="164">
        <v>900</v>
      </c>
      <c r="D11" s="164">
        <v>600</v>
      </c>
      <c r="E11" s="164">
        <v>300</v>
      </c>
      <c r="F11" s="51">
        <v>4</v>
      </c>
      <c r="G11" s="52" t="s">
        <v>601</v>
      </c>
      <c r="H11" s="53">
        <f>1400*1.1</f>
        <v>1540.0000000000002</v>
      </c>
      <c r="I11" s="54">
        <f>850*1.1</f>
        <v>935.00000000000011</v>
      </c>
      <c r="J11" s="54">
        <f>420*1.1</f>
        <v>462.00000000000006</v>
      </c>
      <c r="K11" s="51"/>
    </row>
    <row r="12" spans="1:12" ht="36.75" customHeight="1" x14ac:dyDescent="0.25">
      <c r="A12" s="51"/>
      <c r="B12" s="52"/>
      <c r="C12" s="164"/>
      <c r="D12" s="164"/>
      <c r="E12" s="164"/>
      <c r="F12" s="51">
        <v>5</v>
      </c>
      <c r="G12" s="52" t="s">
        <v>602</v>
      </c>
      <c r="H12" s="53">
        <f>1000*1.1</f>
        <v>1100</v>
      </c>
      <c r="I12" s="54">
        <f>850*1.1</f>
        <v>935.00000000000011</v>
      </c>
      <c r="J12" s="54">
        <f>420*1.1</f>
        <v>462.00000000000006</v>
      </c>
      <c r="K12" s="51" t="s">
        <v>596</v>
      </c>
    </row>
    <row r="13" spans="1:12" ht="36.75" customHeight="1" x14ac:dyDescent="0.25">
      <c r="A13" s="51">
        <v>3</v>
      </c>
      <c r="B13" s="52" t="s">
        <v>603</v>
      </c>
      <c r="C13" s="164">
        <v>900</v>
      </c>
      <c r="D13" s="164">
        <v>600</v>
      </c>
      <c r="E13" s="164">
        <v>300</v>
      </c>
      <c r="F13" s="51">
        <v>6</v>
      </c>
      <c r="G13" s="52" t="s">
        <v>603</v>
      </c>
      <c r="H13" s="53">
        <f>1400*1.1</f>
        <v>1540.0000000000002</v>
      </c>
      <c r="I13" s="54">
        <f>850*1.1</f>
        <v>935.00000000000011</v>
      </c>
      <c r="J13" s="54">
        <f>420*1.1</f>
        <v>462.00000000000006</v>
      </c>
      <c r="K13" s="165"/>
    </row>
    <row r="14" spans="1:12" ht="51.75" customHeight="1" x14ac:dyDescent="0.25">
      <c r="A14" s="51">
        <v>4</v>
      </c>
      <c r="B14" s="52" t="s">
        <v>604</v>
      </c>
      <c r="C14" s="164">
        <v>120</v>
      </c>
      <c r="D14" s="164">
        <v>80</v>
      </c>
      <c r="E14" s="164">
        <v>50</v>
      </c>
      <c r="F14" s="51">
        <v>7</v>
      </c>
      <c r="G14" s="52" t="s">
        <v>605</v>
      </c>
      <c r="H14" s="53">
        <f>180*1.1</f>
        <v>198.00000000000003</v>
      </c>
      <c r="I14" s="54">
        <f>120*1.1</f>
        <v>132</v>
      </c>
      <c r="J14" s="54">
        <f>80*1.1</f>
        <v>88</v>
      </c>
      <c r="K14" s="51" t="s">
        <v>599</v>
      </c>
    </row>
    <row r="15" spans="1:12" ht="24.75" customHeight="1" x14ac:dyDescent="0.25">
      <c r="A15" s="51">
        <v>5</v>
      </c>
      <c r="B15" s="52" t="s">
        <v>606</v>
      </c>
      <c r="C15" s="164">
        <v>180</v>
      </c>
      <c r="D15" s="164">
        <v>115</v>
      </c>
      <c r="E15" s="164">
        <v>68</v>
      </c>
      <c r="F15" s="51">
        <v>8</v>
      </c>
      <c r="G15" s="52" t="s">
        <v>606</v>
      </c>
      <c r="H15" s="53">
        <f>250*1.1</f>
        <v>275</v>
      </c>
      <c r="I15" s="54">
        <f>170*1.1</f>
        <v>187.00000000000003</v>
      </c>
      <c r="J15" s="54">
        <f>100*1.1</f>
        <v>110.00000000000001</v>
      </c>
      <c r="K15" s="51"/>
    </row>
    <row r="16" spans="1:12" ht="36.75" customHeight="1" x14ac:dyDescent="0.25">
      <c r="A16" s="51"/>
      <c r="B16" s="52"/>
      <c r="C16" s="164"/>
      <c r="D16" s="164"/>
      <c r="E16" s="164"/>
      <c r="F16" s="51">
        <v>9</v>
      </c>
      <c r="G16" s="52" t="s">
        <v>607</v>
      </c>
      <c r="H16" s="53">
        <f>500*1.1</f>
        <v>550</v>
      </c>
      <c r="I16" s="54">
        <f>300*1.1</f>
        <v>330</v>
      </c>
      <c r="J16" s="54">
        <f>200*1.1</f>
        <v>220.00000000000003</v>
      </c>
      <c r="K16" s="51"/>
    </row>
    <row r="17" spans="1:11" ht="24.75" customHeight="1" x14ac:dyDescent="0.25">
      <c r="A17" s="47" t="s">
        <v>39</v>
      </c>
      <c r="B17" s="48" t="s">
        <v>608</v>
      </c>
      <c r="C17" s="164"/>
      <c r="D17" s="164"/>
      <c r="E17" s="164"/>
      <c r="F17" s="47" t="s">
        <v>39</v>
      </c>
      <c r="G17" s="48" t="s">
        <v>608</v>
      </c>
      <c r="H17" s="55"/>
      <c r="I17" s="55"/>
      <c r="J17" s="55"/>
      <c r="K17" s="55"/>
    </row>
    <row r="18" spans="1:11" ht="55.5" customHeight="1" x14ac:dyDescent="0.25">
      <c r="A18" s="51">
        <v>1</v>
      </c>
      <c r="B18" s="56" t="s">
        <v>609</v>
      </c>
      <c r="C18" s="164">
        <v>850</v>
      </c>
      <c r="D18" s="164">
        <v>630</v>
      </c>
      <c r="E18" s="164">
        <v>330</v>
      </c>
      <c r="F18" s="51">
        <v>1</v>
      </c>
      <c r="G18" s="56" t="s">
        <v>610</v>
      </c>
      <c r="H18" s="53">
        <f>1200*1.1</f>
        <v>1320</v>
      </c>
      <c r="I18" s="54">
        <f>850*1.1</f>
        <v>935.00000000000011</v>
      </c>
      <c r="J18" s="54">
        <f>450*1.1</f>
        <v>495.00000000000006</v>
      </c>
      <c r="K18" s="51" t="s">
        <v>599</v>
      </c>
    </row>
    <row r="19" spans="1:11" ht="55.5" customHeight="1" x14ac:dyDescent="0.25">
      <c r="A19" s="51">
        <v>2</v>
      </c>
      <c r="B19" s="56" t="s">
        <v>611</v>
      </c>
      <c r="C19" s="49">
        <v>1500</v>
      </c>
      <c r="D19" s="164">
        <v>700</v>
      </c>
      <c r="E19" s="164">
        <v>330</v>
      </c>
      <c r="F19" s="51">
        <v>2</v>
      </c>
      <c r="G19" s="56" t="s">
        <v>611</v>
      </c>
      <c r="H19" s="53">
        <f>2300*1.1</f>
        <v>2530</v>
      </c>
      <c r="I19" s="54">
        <f>1000*1.1</f>
        <v>1100</v>
      </c>
      <c r="J19" s="54">
        <f>450*1.1</f>
        <v>495.00000000000006</v>
      </c>
      <c r="K19" s="165"/>
    </row>
    <row r="20" spans="1:11" ht="55.5" customHeight="1" x14ac:dyDescent="0.25">
      <c r="A20" s="51">
        <v>3</v>
      </c>
      <c r="B20" s="52" t="s">
        <v>612</v>
      </c>
      <c r="C20" s="164">
        <v>950</v>
      </c>
      <c r="D20" s="164">
        <v>700</v>
      </c>
      <c r="E20" s="164">
        <v>330</v>
      </c>
      <c r="F20" s="51">
        <v>3</v>
      </c>
      <c r="G20" s="52" t="s">
        <v>612</v>
      </c>
      <c r="H20" s="53">
        <v>2230</v>
      </c>
      <c r="I20" s="54">
        <f>H20*71.43%</f>
        <v>1592.8890000000001</v>
      </c>
      <c r="J20" s="54">
        <f>H20*32.14%</f>
        <v>716.72200000000009</v>
      </c>
      <c r="K20" s="55"/>
    </row>
    <row r="21" spans="1:11" ht="55.5" customHeight="1" x14ac:dyDescent="0.25">
      <c r="A21" s="51">
        <v>4</v>
      </c>
      <c r="B21" s="52" t="s">
        <v>613</v>
      </c>
      <c r="C21" s="164">
        <v>950</v>
      </c>
      <c r="D21" s="164">
        <v>700</v>
      </c>
      <c r="E21" s="164">
        <v>330</v>
      </c>
      <c r="F21" s="51">
        <v>4</v>
      </c>
      <c r="G21" s="52" t="s">
        <v>613</v>
      </c>
      <c r="H21" s="57">
        <v>2230</v>
      </c>
      <c r="I21" s="57">
        <f>H21*71.43%</f>
        <v>1592.8890000000001</v>
      </c>
      <c r="J21" s="57">
        <f>H21*32.143%</f>
        <v>716.78890000000001</v>
      </c>
      <c r="K21" s="55"/>
    </row>
    <row r="22" spans="1:11" ht="55.5" customHeight="1" x14ac:dyDescent="0.25">
      <c r="A22" s="51">
        <v>5</v>
      </c>
      <c r="B22" s="52" t="s">
        <v>614</v>
      </c>
      <c r="C22" s="164">
        <v>610</v>
      </c>
      <c r="D22" s="164">
        <v>350</v>
      </c>
      <c r="E22" s="164" t="s">
        <v>97</v>
      </c>
      <c r="F22" s="51">
        <v>5</v>
      </c>
      <c r="G22" s="52" t="s">
        <v>614</v>
      </c>
      <c r="H22" s="53">
        <v>1367</v>
      </c>
      <c r="I22" s="54">
        <f>H22*55.56%</f>
        <v>759.50519999999995</v>
      </c>
      <c r="J22" s="54"/>
      <c r="K22" s="55"/>
    </row>
    <row r="23" spans="1:11" ht="55.5" customHeight="1" x14ac:dyDescent="0.25">
      <c r="A23" s="51">
        <v>6</v>
      </c>
      <c r="B23" s="52" t="s">
        <v>615</v>
      </c>
      <c r="C23" s="164">
        <v>610</v>
      </c>
      <c r="D23" s="164">
        <v>350</v>
      </c>
      <c r="E23" s="164">
        <v>230</v>
      </c>
      <c r="F23" s="51">
        <v>6</v>
      </c>
      <c r="G23" s="52" t="s">
        <v>615</v>
      </c>
      <c r="H23" s="57">
        <v>1367</v>
      </c>
      <c r="I23" s="57">
        <f>H23*55.56%</f>
        <v>759.50519999999995</v>
      </c>
      <c r="J23" s="57">
        <f>H23*33.33%</f>
        <v>455.62109999999996</v>
      </c>
      <c r="K23" s="55"/>
    </row>
    <row r="24" spans="1:11" x14ac:dyDescent="0.25">
      <c r="A24" s="51">
        <v>7</v>
      </c>
      <c r="B24" s="52" t="s">
        <v>616</v>
      </c>
      <c r="C24" s="164">
        <v>90</v>
      </c>
      <c r="D24" s="164">
        <v>50</v>
      </c>
      <c r="E24" s="164">
        <v>35</v>
      </c>
      <c r="F24" s="51">
        <v>7</v>
      </c>
      <c r="G24" s="52" t="s">
        <v>616</v>
      </c>
      <c r="H24" s="53">
        <f>180*1.1</f>
        <v>198.00000000000003</v>
      </c>
      <c r="I24" s="54">
        <f>120*1.1</f>
        <v>132</v>
      </c>
      <c r="J24" s="54">
        <f>90*1.1</f>
        <v>99.000000000000014</v>
      </c>
      <c r="K24" s="51"/>
    </row>
    <row r="25" spans="1:11" x14ac:dyDescent="0.25">
      <c r="A25" s="51">
        <v>8</v>
      </c>
      <c r="B25" s="52" t="s">
        <v>606</v>
      </c>
      <c r="C25" s="164">
        <v>140</v>
      </c>
      <c r="D25" s="164">
        <v>95</v>
      </c>
      <c r="E25" s="164">
        <v>45</v>
      </c>
      <c r="F25" s="51">
        <v>8</v>
      </c>
      <c r="G25" s="52" t="s">
        <v>606</v>
      </c>
      <c r="H25" s="53">
        <f>230*1.1</f>
        <v>253.00000000000003</v>
      </c>
      <c r="I25" s="54">
        <f>160*1.1</f>
        <v>176</v>
      </c>
      <c r="J25" s="54">
        <f>80*1.1</f>
        <v>88</v>
      </c>
      <c r="K25" s="51"/>
    </row>
    <row r="26" spans="1:11" x14ac:dyDescent="0.25">
      <c r="A26" s="47" t="s">
        <v>54</v>
      </c>
      <c r="B26" s="48" t="s">
        <v>617</v>
      </c>
      <c r="C26" s="164"/>
      <c r="D26" s="164"/>
      <c r="E26" s="164"/>
      <c r="F26" s="47" t="s">
        <v>54</v>
      </c>
      <c r="G26" s="48" t="s">
        <v>617</v>
      </c>
      <c r="H26" s="49"/>
      <c r="I26" s="50"/>
      <c r="J26" s="50"/>
      <c r="K26" s="55"/>
    </row>
    <row r="27" spans="1:11" x14ac:dyDescent="0.25">
      <c r="A27" s="47"/>
      <c r="B27" s="48" t="s">
        <v>618</v>
      </c>
      <c r="C27" s="164"/>
      <c r="D27" s="164"/>
      <c r="E27" s="164"/>
      <c r="F27" s="47"/>
      <c r="G27" s="48" t="s">
        <v>618</v>
      </c>
      <c r="H27" s="49"/>
      <c r="I27" s="50"/>
      <c r="J27" s="50"/>
      <c r="K27" s="55"/>
    </row>
    <row r="28" spans="1:11" ht="59.25" customHeight="1" x14ac:dyDescent="0.25">
      <c r="A28" s="51"/>
      <c r="B28" s="56"/>
      <c r="C28" s="164"/>
      <c r="D28" s="164"/>
      <c r="E28" s="164"/>
      <c r="F28" s="51">
        <v>1</v>
      </c>
      <c r="G28" s="56" t="s">
        <v>619</v>
      </c>
      <c r="H28" s="57">
        <v>7414</v>
      </c>
      <c r="I28" s="57">
        <f>H28*45%</f>
        <v>3336.3</v>
      </c>
      <c r="J28" s="57">
        <f>H28*27.5%</f>
        <v>2038.8500000000001</v>
      </c>
      <c r="K28" s="51" t="s">
        <v>596</v>
      </c>
    </row>
    <row r="29" spans="1:11" ht="54" customHeight="1" x14ac:dyDescent="0.25">
      <c r="A29" s="51">
        <v>1</v>
      </c>
      <c r="B29" s="52" t="s">
        <v>620</v>
      </c>
      <c r="C29" s="166">
        <v>2000</v>
      </c>
      <c r="D29" s="166">
        <v>1070</v>
      </c>
      <c r="E29" s="164">
        <v>700</v>
      </c>
      <c r="F29" s="51">
        <v>2</v>
      </c>
      <c r="G29" s="52" t="s">
        <v>620</v>
      </c>
      <c r="H29" s="57">
        <v>6281</v>
      </c>
      <c r="I29" s="57">
        <f>H29*44.74%</f>
        <v>2810.1194</v>
      </c>
      <c r="J29" s="57">
        <f>H29*26.32%</f>
        <v>1653.1591999999998</v>
      </c>
      <c r="K29" s="55"/>
    </row>
    <row r="30" spans="1:11" ht="49.5" x14ac:dyDescent="0.25">
      <c r="A30" s="330">
        <v>2</v>
      </c>
      <c r="B30" s="332" t="s">
        <v>621</v>
      </c>
      <c r="C30" s="334">
        <v>1120</v>
      </c>
      <c r="D30" s="336">
        <v>720</v>
      </c>
      <c r="E30" s="336">
        <v>360</v>
      </c>
      <c r="F30" s="51">
        <v>3</v>
      </c>
      <c r="G30" s="52" t="s">
        <v>622</v>
      </c>
      <c r="H30" s="53">
        <f>2500*1.1</f>
        <v>2750</v>
      </c>
      <c r="I30" s="54">
        <f>1200*1.1</f>
        <v>1320</v>
      </c>
      <c r="J30" s="54">
        <f>500*1.1</f>
        <v>550</v>
      </c>
      <c r="K30" s="325" t="s">
        <v>623</v>
      </c>
    </row>
    <row r="31" spans="1:11" ht="66" x14ac:dyDescent="0.25">
      <c r="A31" s="331"/>
      <c r="B31" s="333"/>
      <c r="C31" s="335"/>
      <c r="D31" s="337"/>
      <c r="E31" s="337"/>
      <c r="F31" s="51">
        <v>4</v>
      </c>
      <c r="G31" s="52" t="s">
        <v>624</v>
      </c>
      <c r="H31" s="57">
        <v>2523</v>
      </c>
      <c r="I31" s="57">
        <f>H31*50%</f>
        <v>1261.5</v>
      </c>
      <c r="J31" s="57">
        <f>H31*20%</f>
        <v>504.6</v>
      </c>
      <c r="K31" s="325"/>
    </row>
    <row r="32" spans="1:11" ht="72" customHeight="1" x14ac:dyDescent="0.25">
      <c r="A32" s="51">
        <v>3</v>
      </c>
      <c r="B32" s="56" t="s">
        <v>625</v>
      </c>
      <c r="C32" s="164">
        <v>950</v>
      </c>
      <c r="D32" s="164">
        <v>670</v>
      </c>
      <c r="E32" s="164">
        <v>530</v>
      </c>
      <c r="F32" s="51">
        <v>5</v>
      </c>
      <c r="G32" s="56" t="s">
        <v>626</v>
      </c>
      <c r="H32" s="53">
        <f>1800*1.1</f>
        <v>1980.0000000000002</v>
      </c>
      <c r="I32" s="54">
        <f>1000*1.1</f>
        <v>1100</v>
      </c>
      <c r="J32" s="54">
        <f>700*1.1</f>
        <v>770.00000000000011</v>
      </c>
      <c r="K32" s="51" t="s">
        <v>599</v>
      </c>
    </row>
    <row r="33" spans="1:11" ht="51.75" customHeight="1" x14ac:dyDescent="0.25">
      <c r="A33" s="51">
        <v>4</v>
      </c>
      <c r="B33" s="52" t="s">
        <v>627</v>
      </c>
      <c r="C33" s="164">
        <v>120</v>
      </c>
      <c r="D33" s="164">
        <v>80</v>
      </c>
      <c r="E33" s="164">
        <v>50</v>
      </c>
      <c r="F33" s="51">
        <v>6</v>
      </c>
      <c r="G33" s="52" t="s">
        <v>628</v>
      </c>
      <c r="H33" s="53">
        <f>180*1.1</f>
        <v>198.00000000000003</v>
      </c>
      <c r="I33" s="54">
        <f>120*1.1</f>
        <v>132</v>
      </c>
      <c r="J33" s="54">
        <f>80*1.1</f>
        <v>88</v>
      </c>
      <c r="K33" s="51" t="s">
        <v>599</v>
      </c>
    </row>
    <row r="34" spans="1:11" x14ac:dyDescent="0.25">
      <c r="A34" s="51">
        <v>5</v>
      </c>
      <c r="B34" s="52" t="s">
        <v>629</v>
      </c>
      <c r="C34" s="164">
        <v>78</v>
      </c>
      <c r="D34" s="164">
        <v>43</v>
      </c>
      <c r="E34" s="164">
        <v>36</v>
      </c>
      <c r="F34" s="51">
        <v>7</v>
      </c>
      <c r="G34" s="52" t="s">
        <v>629</v>
      </c>
      <c r="H34" s="54">
        <f>120*1.1</f>
        <v>132</v>
      </c>
      <c r="I34" s="54">
        <f>80*1.1</f>
        <v>88</v>
      </c>
      <c r="J34" s="54">
        <f>70*1.1</f>
        <v>77</v>
      </c>
      <c r="K34" s="55"/>
    </row>
    <row r="35" spans="1:11" x14ac:dyDescent="0.25">
      <c r="A35" s="51">
        <v>6</v>
      </c>
      <c r="B35" s="52" t="s">
        <v>606</v>
      </c>
      <c r="C35" s="164">
        <v>190</v>
      </c>
      <c r="D35" s="164">
        <v>120</v>
      </c>
      <c r="E35" s="164">
        <v>70</v>
      </c>
      <c r="F35" s="51">
        <v>8</v>
      </c>
      <c r="G35" s="52" t="s">
        <v>606</v>
      </c>
      <c r="H35" s="53">
        <f>280*1.1</f>
        <v>308</v>
      </c>
      <c r="I35" s="54">
        <f>180*1.1</f>
        <v>198.00000000000003</v>
      </c>
      <c r="J35" s="54">
        <f>100*1.1</f>
        <v>110.00000000000001</v>
      </c>
      <c r="K35" s="51"/>
    </row>
    <row r="36" spans="1:11" x14ac:dyDescent="0.25">
      <c r="A36" s="47" t="s">
        <v>64</v>
      </c>
      <c r="B36" s="48" t="s">
        <v>630</v>
      </c>
      <c r="C36" s="164"/>
      <c r="D36" s="164"/>
      <c r="E36" s="164"/>
      <c r="F36" s="47" t="s">
        <v>64</v>
      </c>
      <c r="G36" s="48" t="s">
        <v>630</v>
      </c>
      <c r="H36" s="49"/>
      <c r="I36" s="50"/>
      <c r="J36" s="50"/>
      <c r="K36" s="55"/>
    </row>
    <row r="37" spans="1:11" ht="77.25" customHeight="1" x14ac:dyDescent="0.25">
      <c r="A37" s="51">
        <v>1</v>
      </c>
      <c r="B37" s="52" t="s">
        <v>631</v>
      </c>
      <c r="C37" s="164">
        <v>950</v>
      </c>
      <c r="D37" s="164">
        <v>400</v>
      </c>
      <c r="E37" s="164">
        <v>200</v>
      </c>
      <c r="F37" s="51">
        <v>1</v>
      </c>
      <c r="G37" s="52" t="s">
        <v>631</v>
      </c>
      <c r="H37" s="53">
        <f>1500*1.1</f>
        <v>1650.0000000000002</v>
      </c>
      <c r="I37" s="54">
        <f>600*1.1</f>
        <v>660</v>
      </c>
      <c r="J37" s="54">
        <f>300*1.1</f>
        <v>330</v>
      </c>
      <c r="K37" s="55"/>
    </row>
    <row r="38" spans="1:11" ht="31.5" customHeight="1" x14ac:dyDescent="0.25">
      <c r="A38" s="51">
        <v>2</v>
      </c>
      <c r="B38" s="52" t="s">
        <v>632</v>
      </c>
      <c r="C38" s="164">
        <v>400</v>
      </c>
      <c r="D38" s="164">
        <v>180</v>
      </c>
      <c r="E38" s="164">
        <v>115</v>
      </c>
      <c r="F38" s="51">
        <v>2</v>
      </c>
      <c r="G38" s="52" t="s">
        <v>632</v>
      </c>
      <c r="H38" s="53">
        <f>650*1.1</f>
        <v>715.00000000000011</v>
      </c>
      <c r="I38" s="54">
        <f>270*1.1</f>
        <v>297</v>
      </c>
      <c r="J38" s="54">
        <f>160*1.1</f>
        <v>176</v>
      </c>
      <c r="K38" s="55"/>
    </row>
    <row r="39" spans="1:11" ht="43.5" customHeight="1" x14ac:dyDescent="0.25">
      <c r="A39" s="51">
        <v>3</v>
      </c>
      <c r="B39" s="52" t="s">
        <v>633</v>
      </c>
      <c r="C39" s="164">
        <v>400</v>
      </c>
      <c r="D39" s="164">
        <v>180</v>
      </c>
      <c r="E39" s="164">
        <v>115</v>
      </c>
      <c r="F39" s="51">
        <v>3</v>
      </c>
      <c r="G39" s="52" t="s">
        <v>633</v>
      </c>
      <c r="H39" s="53">
        <f>650*1.1</f>
        <v>715.00000000000011</v>
      </c>
      <c r="I39" s="54">
        <f>270*1.1</f>
        <v>297</v>
      </c>
      <c r="J39" s="54">
        <f>160*1.1</f>
        <v>176</v>
      </c>
      <c r="K39" s="55"/>
    </row>
    <row r="40" spans="1:11" ht="48" customHeight="1" x14ac:dyDescent="0.25">
      <c r="A40" s="51">
        <v>4</v>
      </c>
      <c r="B40" s="52" t="s">
        <v>634</v>
      </c>
      <c r="C40" s="164">
        <v>400</v>
      </c>
      <c r="D40" s="164">
        <v>180</v>
      </c>
      <c r="E40" s="164">
        <v>115</v>
      </c>
      <c r="F40" s="51">
        <v>4</v>
      </c>
      <c r="G40" s="52" t="s">
        <v>634</v>
      </c>
      <c r="H40" s="57">
        <v>1100</v>
      </c>
      <c r="I40" s="57">
        <f>H40*41.54%</f>
        <v>456.94</v>
      </c>
      <c r="J40" s="57">
        <f>H40*24.62%</f>
        <v>270.82</v>
      </c>
      <c r="K40" s="55"/>
    </row>
    <row r="41" spans="1:11" ht="21.75" customHeight="1" x14ac:dyDescent="0.25">
      <c r="A41" s="51">
        <v>5</v>
      </c>
      <c r="B41" s="52" t="s">
        <v>635</v>
      </c>
      <c r="C41" s="164">
        <v>55</v>
      </c>
      <c r="D41" s="164">
        <v>30</v>
      </c>
      <c r="E41" s="164">
        <v>25</v>
      </c>
      <c r="F41" s="51">
        <v>5</v>
      </c>
      <c r="G41" s="52" t="s">
        <v>635</v>
      </c>
      <c r="H41" s="53">
        <f>110*1.1</f>
        <v>121.00000000000001</v>
      </c>
      <c r="I41" s="54">
        <f>80*1.1</f>
        <v>88</v>
      </c>
      <c r="J41" s="54">
        <f>70*1.1</f>
        <v>77</v>
      </c>
      <c r="K41" s="51"/>
    </row>
    <row r="42" spans="1:11" ht="21.75" customHeight="1" x14ac:dyDescent="0.25">
      <c r="A42" s="51">
        <v>6</v>
      </c>
      <c r="B42" s="52" t="s">
        <v>606</v>
      </c>
      <c r="C42" s="164">
        <v>120</v>
      </c>
      <c r="D42" s="164">
        <v>72</v>
      </c>
      <c r="E42" s="164">
        <v>48</v>
      </c>
      <c r="F42" s="51">
        <v>6</v>
      </c>
      <c r="G42" s="52" t="s">
        <v>606</v>
      </c>
      <c r="H42" s="53">
        <f>200*1.1</f>
        <v>220.00000000000003</v>
      </c>
      <c r="I42" s="53">
        <f>110*1.1</f>
        <v>121.00000000000001</v>
      </c>
      <c r="J42" s="54">
        <f>80*1.1</f>
        <v>88</v>
      </c>
      <c r="K42" s="51"/>
    </row>
    <row r="43" spans="1:11" ht="21.75" customHeight="1" x14ac:dyDescent="0.25">
      <c r="A43" s="47" t="s">
        <v>75</v>
      </c>
      <c r="B43" s="58" t="s">
        <v>636</v>
      </c>
      <c r="C43" s="164"/>
      <c r="D43" s="164"/>
      <c r="E43" s="164"/>
      <c r="F43" s="47" t="s">
        <v>75</v>
      </c>
      <c r="G43" s="58" t="s">
        <v>636</v>
      </c>
      <c r="H43" s="49"/>
      <c r="I43" s="50"/>
      <c r="J43" s="50"/>
      <c r="K43" s="55"/>
    </row>
    <row r="44" spans="1:11" ht="39.75" customHeight="1" x14ac:dyDescent="0.25">
      <c r="A44" s="51">
        <v>1</v>
      </c>
      <c r="B44" s="52" t="s">
        <v>637</v>
      </c>
      <c r="C44" s="164">
        <v>230</v>
      </c>
      <c r="D44" s="164">
        <v>170</v>
      </c>
      <c r="E44" s="164">
        <v>115</v>
      </c>
      <c r="F44" s="51">
        <v>1</v>
      </c>
      <c r="G44" s="52" t="s">
        <v>1137</v>
      </c>
      <c r="H44" s="53">
        <f>350*1.1</f>
        <v>385.00000000000006</v>
      </c>
      <c r="I44" s="54">
        <f>230*1.1</f>
        <v>253.00000000000003</v>
      </c>
      <c r="J44" s="54">
        <f>150*1.1</f>
        <v>165</v>
      </c>
      <c r="K44" s="55"/>
    </row>
    <row r="45" spans="1:11" ht="29.25" customHeight="1" x14ac:dyDescent="0.25">
      <c r="A45" s="51">
        <v>2</v>
      </c>
      <c r="B45" s="52" t="s">
        <v>638</v>
      </c>
      <c r="C45" s="164">
        <v>120</v>
      </c>
      <c r="D45" s="164">
        <v>70</v>
      </c>
      <c r="E45" s="164">
        <v>45</v>
      </c>
      <c r="F45" s="51">
        <v>2</v>
      </c>
      <c r="G45" s="52" t="s">
        <v>638</v>
      </c>
      <c r="H45" s="53">
        <f>200*1.1</f>
        <v>220.00000000000003</v>
      </c>
      <c r="I45" s="54">
        <f>100*1.1</f>
        <v>110.00000000000001</v>
      </c>
      <c r="J45" s="54">
        <f>80*1.1</f>
        <v>88</v>
      </c>
      <c r="K45" s="55"/>
    </row>
    <row r="46" spans="1:11" ht="29.25" customHeight="1" x14ac:dyDescent="0.25">
      <c r="A46" s="51">
        <v>3</v>
      </c>
      <c r="B46" s="52" t="s">
        <v>606</v>
      </c>
      <c r="C46" s="164">
        <v>55</v>
      </c>
      <c r="D46" s="164">
        <v>30</v>
      </c>
      <c r="E46" s="164">
        <v>25</v>
      </c>
      <c r="F46" s="51">
        <v>3</v>
      </c>
      <c r="G46" s="52" t="s">
        <v>606</v>
      </c>
      <c r="H46" s="53">
        <f>110*1.1</f>
        <v>121.00000000000001</v>
      </c>
      <c r="I46" s="54">
        <f>80*1.1</f>
        <v>88</v>
      </c>
      <c r="J46" s="54">
        <f>70*1.1</f>
        <v>77</v>
      </c>
      <c r="K46" s="55"/>
    </row>
    <row r="47" spans="1:11" x14ac:dyDescent="0.25">
      <c r="A47" s="47" t="s">
        <v>349</v>
      </c>
      <c r="B47" s="48" t="s">
        <v>639</v>
      </c>
      <c r="C47" s="164"/>
      <c r="D47" s="164"/>
      <c r="E47" s="164"/>
      <c r="F47" s="47" t="s">
        <v>349</v>
      </c>
      <c r="G47" s="48" t="s">
        <v>639</v>
      </c>
      <c r="H47" s="49"/>
      <c r="I47" s="50"/>
      <c r="J47" s="50"/>
      <c r="K47" s="55"/>
    </row>
    <row r="48" spans="1:11" ht="24" customHeight="1" x14ac:dyDescent="0.25">
      <c r="A48" s="51">
        <v>1</v>
      </c>
      <c r="B48" s="52" t="s">
        <v>640</v>
      </c>
      <c r="C48" s="164">
        <v>320</v>
      </c>
      <c r="D48" s="164">
        <v>150</v>
      </c>
      <c r="E48" s="164">
        <v>60</v>
      </c>
      <c r="F48" s="51">
        <v>1</v>
      </c>
      <c r="G48" s="52" t="s">
        <v>1138</v>
      </c>
      <c r="H48" s="53">
        <f>480*1.1</f>
        <v>528</v>
      </c>
      <c r="I48" s="54">
        <f>230*1.1</f>
        <v>253.00000000000003</v>
      </c>
      <c r="J48" s="54">
        <f>150*1.1</f>
        <v>165</v>
      </c>
      <c r="K48" s="55"/>
    </row>
    <row r="49" spans="1:11" ht="24" customHeight="1" x14ac:dyDescent="0.25">
      <c r="A49" s="51">
        <v>2</v>
      </c>
      <c r="B49" s="52" t="s">
        <v>641</v>
      </c>
      <c r="C49" s="164">
        <v>70</v>
      </c>
      <c r="D49" s="164">
        <v>40</v>
      </c>
      <c r="E49" s="164">
        <v>25</v>
      </c>
      <c r="F49" s="51">
        <v>2</v>
      </c>
      <c r="G49" s="52" t="s">
        <v>642</v>
      </c>
      <c r="H49" s="53">
        <f>120*1.1</f>
        <v>132</v>
      </c>
      <c r="I49" s="54">
        <f>80*1.1</f>
        <v>88</v>
      </c>
      <c r="J49" s="54">
        <f>70*1.1</f>
        <v>77</v>
      </c>
      <c r="K49" s="52"/>
    </row>
    <row r="50" spans="1:11" ht="24" customHeight="1" x14ac:dyDescent="0.25">
      <c r="A50" s="51">
        <v>3</v>
      </c>
      <c r="B50" s="52" t="s">
        <v>606</v>
      </c>
      <c r="C50" s="164">
        <v>100</v>
      </c>
      <c r="D50" s="164">
        <v>50</v>
      </c>
      <c r="E50" s="164">
        <v>25</v>
      </c>
      <c r="F50" s="51">
        <v>3</v>
      </c>
      <c r="G50" s="52" t="s">
        <v>606</v>
      </c>
      <c r="H50" s="53">
        <f>150*1.1</f>
        <v>165</v>
      </c>
      <c r="I50" s="54">
        <f>100*1.1</f>
        <v>110.00000000000001</v>
      </c>
      <c r="J50" s="54">
        <f>70*1.1</f>
        <v>77</v>
      </c>
      <c r="K50" s="55"/>
    </row>
    <row r="51" spans="1:11" x14ac:dyDescent="0.25">
      <c r="A51" s="47" t="s">
        <v>354</v>
      </c>
      <c r="B51" s="48" t="s">
        <v>643</v>
      </c>
      <c r="C51" s="164"/>
      <c r="D51" s="164"/>
      <c r="E51" s="164"/>
      <c r="F51" s="47" t="s">
        <v>354</v>
      </c>
      <c r="G51" s="48" t="s">
        <v>643</v>
      </c>
      <c r="H51" s="49"/>
      <c r="I51" s="50"/>
      <c r="J51" s="50"/>
      <c r="K51" s="55"/>
    </row>
    <row r="52" spans="1:11" ht="64.5" customHeight="1" x14ac:dyDescent="0.25">
      <c r="A52" s="51">
        <v>1</v>
      </c>
      <c r="B52" s="52" t="s">
        <v>644</v>
      </c>
      <c r="C52" s="164">
        <v>600</v>
      </c>
      <c r="D52" s="164">
        <v>240</v>
      </c>
      <c r="E52" s="164">
        <v>180</v>
      </c>
      <c r="F52" s="51">
        <v>1</v>
      </c>
      <c r="G52" s="52" t="s">
        <v>644</v>
      </c>
      <c r="H52" s="53">
        <f>1500*1.1</f>
        <v>1650.0000000000002</v>
      </c>
      <c r="I52" s="54">
        <f>350*1.1</f>
        <v>385.00000000000006</v>
      </c>
      <c r="J52" s="54">
        <f>260*1.1</f>
        <v>286</v>
      </c>
      <c r="K52" s="55"/>
    </row>
    <row r="53" spans="1:11" ht="39.75" customHeight="1" x14ac:dyDescent="0.25">
      <c r="A53" s="51">
        <v>2</v>
      </c>
      <c r="B53" s="52" t="s">
        <v>645</v>
      </c>
      <c r="C53" s="164">
        <v>350</v>
      </c>
      <c r="D53" s="164">
        <v>155</v>
      </c>
      <c r="E53" s="164">
        <v>95</v>
      </c>
      <c r="F53" s="51">
        <v>2</v>
      </c>
      <c r="G53" s="52" t="s">
        <v>645</v>
      </c>
      <c r="H53" s="53">
        <f>800*1.1</f>
        <v>880.00000000000011</v>
      </c>
      <c r="I53" s="54">
        <f>250*1.1</f>
        <v>275</v>
      </c>
      <c r="J53" s="54">
        <f>150*1.1</f>
        <v>165</v>
      </c>
      <c r="K53" s="55"/>
    </row>
    <row r="54" spans="1:11" ht="48.75" customHeight="1" x14ac:dyDescent="0.25">
      <c r="A54" s="51">
        <v>3</v>
      </c>
      <c r="B54" s="52" t="s">
        <v>646</v>
      </c>
      <c r="C54" s="164">
        <v>350</v>
      </c>
      <c r="D54" s="164">
        <v>150</v>
      </c>
      <c r="E54" s="164">
        <v>95</v>
      </c>
      <c r="F54" s="51">
        <v>3</v>
      </c>
      <c r="G54" s="52" t="s">
        <v>646</v>
      </c>
      <c r="H54" s="53">
        <f>600*1.1</f>
        <v>660</v>
      </c>
      <c r="I54" s="54">
        <f>250*1.1</f>
        <v>275</v>
      </c>
      <c r="J54" s="54">
        <f>150*1.1</f>
        <v>165</v>
      </c>
      <c r="K54" s="55"/>
    </row>
    <row r="55" spans="1:11" ht="30" customHeight="1" x14ac:dyDescent="0.25">
      <c r="A55" s="51"/>
      <c r="B55" s="52"/>
      <c r="C55" s="164"/>
      <c r="D55" s="164"/>
      <c r="E55" s="164"/>
      <c r="F55" s="51">
        <v>4</v>
      </c>
      <c r="G55" s="52" t="s">
        <v>647</v>
      </c>
      <c r="H55" s="53">
        <f>500*1.1</f>
        <v>550</v>
      </c>
      <c r="I55" s="54">
        <f>250*1.1</f>
        <v>275</v>
      </c>
      <c r="J55" s="54">
        <f>150*1.1</f>
        <v>165</v>
      </c>
      <c r="K55" s="51" t="s">
        <v>596</v>
      </c>
    </row>
    <row r="56" spans="1:11" ht="26.25" customHeight="1" x14ac:dyDescent="0.25">
      <c r="A56" s="51">
        <v>4</v>
      </c>
      <c r="B56" s="52" t="s">
        <v>648</v>
      </c>
      <c r="C56" s="164">
        <v>55</v>
      </c>
      <c r="D56" s="164">
        <v>30</v>
      </c>
      <c r="E56" s="164">
        <v>25</v>
      </c>
      <c r="F56" s="51">
        <v>5</v>
      </c>
      <c r="G56" s="52" t="s">
        <v>649</v>
      </c>
      <c r="H56" s="53">
        <f>110*1.1</f>
        <v>121.00000000000001</v>
      </c>
      <c r="I56" s="54">
        <f>80*1.1</f>
        <v>88</v>
      </c>
      <c r="J56" s="54">
        <f>70*1.1</f>
        <v>77</v>
      </c>
      <c r="K56" s="51" t="s">
        <v>650</v>
      </c>
    </row>
    <row r="57" spans="1:11" ht="26.25" customHeight="1" x14ac:dyDescent="0.25">
      <c r="A57" s="51">
        <v>5</v>
      </c>
      <c r="B57" s="52" t="s">
        <v>606</v>
      </c>
      <c r="C57" s="164">
        <v>120</v>
      </c>
      <c r="D57" s="164">
        <v>60</v>
      </c>
      <c r="E57" s="164">
        <v>35</v>
      </c>
      <c r="F57" s="51">
        <v>6</v>
      </c>
      <c r="G57" s="52" t="s">
        <v>606</v>
      </c>
      <c r="H57" s="53">
        <f>200*1.1</f>
        <v>220.00000000000003</v>
      </c>
      <c r="I57" s="54">
        <f>100*1.1</f>
        <v>110.00000000000001</v>
      </c>
      <c r="J57" s="54">
        <f>80*1.1</f>
        <v>88</v>
      </c>
      <c r="K57" s="51"/>
    </row>
    <row r="58" spans="1:11" x14ac:dyDescent="0.25">
      <c r="A58" s="47" t="s">
        <v>427</v>
      </c>
      <c r="B58" s="48" t="s">
        <v>651</v>
      </c>
      <c r="C58" s="167"/>
      <c r="D58" s="167"/>
      <c r="E58" s="167"/>
      <c r="F58" s="47" t="s">
        <v>427</v>
      </c>
      <c r="G58" s="48" t="s">
        <v>651</v>
      </c>
      <c r="H58" s="49"/>
      <c r="I58" s="50"/>
      <c r="J58" s="50"/>
      <c r="K58" s="55"/>
    </row>
    <row r="59" spans="1:11" ht="48.75" customHeight="1" x14ac:dyDescent="0.25">
      <c r="A59" s="51">
        <v>1</v>
      </c>
      <c r="B59" s="52" t="s">
        <v>652</v>
      </c>
      <c r="C59" s="164">
        <v>660</v>
      </c>
      <c r="D59" s="164">
        <v>410</v>
      </c>
      <c r="E59" s="164">
        <v>170</v>
      </c>
      <c r="F59" s="51">
        <v>1</v>
      </c>
      <c r="G59" s="52" t="s">
        <v>653</v>
      </c>
      <c r="H59" s="53">
        <v>2170</v>
      </c>
      <c r="I59" s="54">
        <f>H59*42.86%</f>
        <v>930.06200000000001</v>
      </c>
      <c r="J59" s="54">
        <f>H59*17.86%</f>
        <v>387.56199999999995</v>
      </c>
      <c r="K59" s="51" t="s">
        <v>650</v>
      </c>
    </row>
    <row r="60" spans="1:11" ht="48.75" customHeight="1" x14ac:dyDescent="0.25">
      <c r="A60" s="51"/>
      <c r="B60" s="52"/>
      <c r="C60" s="164"/>
      <c r="D60" s="164"/>
      <c r="E60" s="164"/>
      <c r="F60" s="51">
        <v>2</v>
      </c>
      <c r="G60" s="52" t="s">
        <v>654</v>
      </c>
      <c r="H60" s="57">
        <v>1657</v>
      </c>
      <c r="I60" s="57">
        <f>H60*60%</f>
        <v>994.19999999999993</v>
      </c>
      <c r="J60" s="57">
        <f>H60*25%</f>
        <v>414.25</v>
      </c>
      <c r="K60" s="51" t="s">
        <v>596</v>
      </c>
    </row>
    <row r="61" spans="1:11" ht="48.75" customHeight="1" x14ac:dyDescent="0.25">
      <c r="A61" s="51">
        <v>2</v>
      </c>
      <c r="B61" s="52" t="s">
        <v>655</v>
      </c>
      <c r="C61" s="164">
        <v>120</v>
      </c>
      <c r="D61" s="164">
        <v>110</v>
      </c>
      <c r="E61" s="164">
        <v>55</v>
      </c>
      <c r="F61" s="51">
        <v>3</v>
      </c>
      <c r="G61" s="52" t="s">
        <v>656</v>
      </c>
      <c r="H61" s="53">
        <f>200*1.1</f>
        <v>220.00000000000003</v>
      </c>
      <c r="I61" s="54">
        <f>170*1.1</f>
        <v>187.00000000000003</v>
      </c>
      <c r="J61" s="54">
        <f>100*1.1</f>
        <v>110.00000000000001</v>
      </c>
      <c r="K61" s="51" t="s">
        <v>599</v>
      </c>
    </row>
    <row r="62" spans="1:11" x14ac:dyDescent="0.25">
      <c r="A62" s="51">
        <v>3</v>
      </c>
      <c r="B62" s="52" t="s">
        <v>657</v>
      </c>
      <c r="C62" s="164">
        <v>180</v>
      </c>
      <c r="D62" s="164">
        <v>100</v>
      </c>
      <c r="E62" s="164">
        <v>50</v>
      </c>
      <c r="F62" s="51">
        <v>4</v>
      </c>
      <c r="G62" s="52" t="s">
        <v>657</v>
      </c>
      <c r="H62" s="53">
        <f>280*1.1</f>
        <v>308</v>
      </c>
      <c r="I62" s="54">
        <f>180*1.1</f>
        <v>198.00000000000003</v>
      </c>
      <c r="J62" s="54">
        <f>90*1.1</f>
        <v>99.000000000000014</v>
      </c>
      <c r="K62" s="51"/>
    </row>
    <row r="63" spans="1:11" x14ac:dyDescent="0.25">
      <c r="A63" s="47" t="s">
        <v>432</v>
      </c>
      <c r="B63" s="48" t="s">
        <v>658</v>
      </c>
      <c r="C63" s="164"/>
      <c r="D63" s="164"/>
      <c r="E63" s="164"/>
      <c r="F63" s="47" t="s">
        <v>432</v>
      </c>
      <c r="G63" s="48" t="s">
        <v>658</v>
      </c>
      <c r="H63" s="49"/>
      <c r="I63" s="50"/>
      <c r="J63" s="50"/>
      <c r="K63" s="55"/>
    </row>
    <row r="64" spans="1:11" ht="63.75" customHeight="1" x14ac:dyDescent="0.25">
      <c r="A64" s="51">
        <v>1</v>
      </c>
      <c r="B64" s="52" t="s">
        <v>659</v>
      </c>
      <c r="C64" s="164">
        <v>700</v>
      </c>
      <c r="D64" s="164">
        <v>400</v>
      </c>
      <c r="E64" s="164">
        <v>170</v>
      </c>
      <c r="F64" s="51">
        <v>1</v>
      </c>
      <c r="G64" s="52" t="s">
        <v>659</v>
      </c>
      <c r="H64" s="53">
        <f>1500*1.1</f>
        <v>1650.0000000000002</v>
      </c>
      <c r="I64" s="54">
        <f>600*1.1</f>
        <v>660</v>
      </c>
      <c r="J64" s="54">
        <f>250*1.1</f>
        <v>275</v>
      </c>
      <c r="K64" s="51"/>
    </row>
    <row r="65" spans="1:12" ht="21.75" customHeight="1" x14ac:dyDescent="0.25">
      <c r="A65" s="51">
        <v>2</v>
      </c>
      <c r="B65" s="52" t="s">
        <v>660</v>
      </c>
      <c r="C65" s="164">
        <v>50</v>
      </c>
      <c r="D65" s="164">
        <v>40</v>
      </c>
      <c r="E65" s="164">
        <v>25</v>
      </c>
      <c r="F65" s="51">
        <v>2</v>
      </c>
      <c r="G65" s="52" t="s">
        <v>660</v>
      </c>
      <c r="H65" s="53">
        <f>120*1.1</f>
        <v>132</v>
      </c>
      <c r="I65" s="54">
        <f>90*1.1</f>
        <v>99.000000000000014</v>
      </c>
      <c r="J65" s="54">
        <f>70*1.1</f>
        <v>77</v>
      </c>
      <c r="K65" s="51"/>
    </row>
    <row r="66" spans="1:12" x14ac:dyDescent="0.25">
      <c r="A66" s="51">
        <v>3</v>
      </c>
      <c r="B66" s="52" t="s">
        <v>606</v>
      </c>
      <c r="C66" s="164">
        <v>180</v>
      </c>
      <c r="D66" s="164">
        <v>75</v>
      </c>
      <c r="E66" s="164">
        <v>40</v>
      </c>
      <c r="F66" s="51">
        <v>3</v>
      </c>
      <c r="G66" s="52" t="s">
        <v>606</v>
      </c>
      <c r="H66" s="53">
        <f>280*1.1</f>
        <v>308</v>
      </c>
      <c r="I66" s="54">
        <f>150*1.1</f>
        <v>165</v>
      </c>
      <c r="J66" s="54">
        <f>90*1.1</f>
        <v>99.000000000000014</v>
      </c>
      <c r="K66" s="51"/>
    </row>
    <row r="67" spans="1:12" x14ac:dyDescent="0.25">
      <c r="A67" s="47" t="s">
        <v>436</v>
      </c>
      <c r="B67" s="58" t="s">
        <v>661</v>
      </c>
      <c r="C67" s="49"/>
      <c r="D67" s="49"/>
      <c r="E67" s="49"/>
      <c r="F67" s="47" t="s">
        <v>436</v>
      </c>
      <c r="G67" s="58" t="s">
        <v>661</v>
      </c>
      <c r="H67" s="49"/>
      <c r="I67" s="50"/>
      <c r="J67" s="50"/>
      <c r="K67" s="55"/>
    </row>
    <row r="68" spans="1:12" ht="69.75" customHeight="1" x14ac:dyDescent="0.25">
      <c r="A68" s="51">
        <v>1</v>
      </c>
      <c r="B68" s="52" t="s">
        <v>662</v>
      </c>
      <c r="C68" s="164">
        <v>220</v>
      </c>
      <c r="D68" s="164">
        <v>160</v>
      </c>
      <c r="E68" s="164">
        <v>80</v>
      </c>
      <c r="F68" s="51">
        <v>1</v>
      </c>
      <c r="G68" s="52" t="s">
        <v>662</v>
      </c>
      <c r="H68" s="53">
        <f>500*1.1</f>
        <v>550</v>
      </c>
      <c r="I68" s="54">
        <f>230*1.1</f>
        <v>253.00000000000003</v>
      </c>
      <c r="J68" s="54">
        <f>120*1.1</f>
        <v>132</v>
      </c>
      <c r="K68" s="55"/>
    </row>
    <row r="69" spans="1:12" x14ac:dyDescent="0.25">
      <c r="A69" s="51">
        <v>2</v>
      </c>
      <c r="B69" s="52" t="s">
        <v>663</v>
      </c>
      <c r="C69" s="164">
        <v>80</v>
      </c>
      <c r="D69" s="164">
        <v>38</v>
      </c>
      <c r="E69" s="164">
        <v>25</v>
      </c>
      <c r="F69" s="51">
        <v>2</v>
      </c>
      <c r="G69" s="52" t="s">
        <v>663</v>
      </c>
      <c r="H69" s="53">
        <f>150*1.1</f>
        <v>165</v>
      </c>
      <c r="I69" s="54">
        <f>90*1.1</f>
        <v>99.000000000000014</v>
      </c>
      <c r="J69" s="54">
        <f>70*1.1</f>
        <v>77</v>
      </c>
      <c r="K69" s="51"/>
    </row>
    <row r="70" spans="1:12" x14ac:dyDescent="0.25">
      <c r="A70" s="51">
        <v>3</v>
      </c>
      <c r="B70" s="52" t="s">
        <v>606</v>
      </c>
      <c r="C70" s="164">
        <v>115</v>
      </c>
      <c r="D70" s="164">
        <v>75</v>
      </c>
      <c r="E70" s="164">
        <v>50</v>
      </c>
      <c r="F70" s="51">
        <v>3</v>
      </c>
      <c r="G70" s="52" t="s">
        <v>606</v>
      </c>
      <c r="H70" s="53">
        <f>250*1.1</f>
        <v>275</v>
      </c>
      <c r="I70" s="54">
        <f>150*1.1</f>
        <v>165</v>
      </c>
      <c r="J70" s="54">
        <f>100*1.1</f>
        <v>110.00000000000001</v>
      </c>
      <c r="K70" s="51"/>
    </row>
    <row r="71" spans="1:12" x14ac:dyDescent="0.25">
      <c r="A71" s="47" t="s">
        <v>441</v>
      </c>
      <c r="B71" s="58" t="s">
        <v>664</v>
      </c>
      <c r="C71" s="164"/>
      <c r="D71" s="164"/>
      <c r="E71" s="164"/>
      <c r="F71" s="47" t="s">
        <v>441</v>
      </c>
      <c r="G71" s="58" t="s">
        <v>664</v>
      </c>
      <c r="H71" s="49"/>
      <c r="I71" s="50"/>
      <c r="J71" s="50"/>
      <c r="K71" s="55"/>
    </row>
    <row r="72" spans="1:12" ht="22.5" customHeight="1" x14ac:dyDescent="0.25">
      <c r="A72" s="51">
        <v>1</v>
      </c>
      <c r="B72" s="52" t="s">
        <v>665</v>
      </c>
      <c r="C72" s="164">
        <v>175</v>
      </c>
      <c r="D72" s="164">
        <v>145</v>
      </c>
      <c r="E72" s="164">
        <v>90</v>
      </c>
      <c r="F72" s="51">
        <v>1</v>
      </c>
      <c r="G72" s="52" t="s">
        <v>1139</v>
      </c>
      <c r="H72" s="53">
        <f>270*1.1</f>
        <v>297</v>
      </c>
      <c r="I72" s="54">
        <f>200*1.1</f>
        <v>220.00000000000003</v>
      </c>
      <c r="J72" s="54">
        <f>130*1.1</f>
        <v>143</v>
      </c>
      <c r="K72" s="55"/>
      <c r="L72" s="158" t="s">
        <v>991</v>
      </c>
    </row>
    <row r="73" spans="1:12" ht="22.5" customHeight="1" x14ac:dyDescent="0.25">
      <c r="A73" s="51">
        <v>2</v>
      </c>
      <c r="B73" s="52" t="s">
        <v>666</v>
      </c>
      <c r="C73" s="164">
        <v>50</v>
      </c>
      <c r="D73" s="164">
        <v>38</v>
      </c>
      <c r="E73" s="164">
        <v>25</v>
      </c>
      <c r="F73" s="51">
        <v>2</v>
      </c>
      <c r="G73" s="52" t="s">
        <v>666</v>
      </c>
      <c r="H73" s="54">
        <f>120*1.1</f>
        <v>132</v>
      </c>
      <c r="I73" s="54">
        <f>90*1.1</f>
        <v>99.000000000000014</v>
      </c>
      <c r="J73" s="54">
        <f>70*1.1</f>
        <v>77</v>
      </c>
      <c r="K73" s="51"/>
    </row>
    <row r="74" spans="1:12" ht="22.5" customHeight="1" x14ac:dyDescent="0.25">
      <c r="A74" s="51">
        <v>3</v>
      </c>
      <c r="B74" s="52" t="s">
        <v>606</v>
      </c>
      <c r="C74" s="164">
        <v>110</v>
      </c>
      <c r="D74" s="164">
        <v>75</v>
      </c>
      <c r="E74" s="164">
        <v>48</v>
      </c>
      <c r="F74" s="51">
        <v>3</v>
      </c>
      <c r="G74" s="52" t="s">
        <v>606</v>
      </c>
      <c r="H74" s="53">
        <f>180*1.1</f>
        <v>198.00000000000003</v>
      </c>
      <c r="I74" s="54">
        <f>150*1.1</f>
        <v>165</v>
      </c>
      <c r="J74" s="54">
        <f>100*1.1</f>
        <v>110.00000000000001</v>
      </c>
      <c r="K74" s="51"/>
    </row>
    <row r="75" spans="1:12" x14ac:dyDescent="0.25">
      <c r="A75" s="47" t="s">
        <v>449</v>
      </c>
      <c r="B75" s="58" t="s">
        <v>667</v>
      </c>
      <c r="C75" s="164"/>
      <c r="D75" s="164"/>
      <c r="E75" s="164"/>
      <c r="F75" s="47" t="s">
        <v>449</v>
      </c>
      <c r="G75" s="58" t="s">
        <v>667</v>
      </c>
      <c r="H75" s="49"/>
      <c r="I75" s="50"/>
      <c r="J75" s="50"/>
      <c r="K75" s="55"/>
    </row>
    <row r="76" spans="1:12" ht="48" customHeight="1" x14ac:dyDescent="0.25">
      <c r="A76" s="51">
        <v>1</v>
      </c>
      <c r="B76" s="52" t="s">
        <v>668</v>
      </c>
      <c r="C76" s="164">
        <v>320</v>
      </c>
      <c r="D76" s="164">
        <v>155</v>
      </c>
      <c r="E76" s="164">
        <v>60</v>
      </c>
      <c r="F76" s="51">
        <v>1</v>
      </c>
      <c r="G76" s="52" t="s">
        <v>669</v>
      </c>
      <c r="H76" s="57">
        <v>554</v>
      </c>
      <c r="I76" s="57">
        <f>H76*46%</f>
        <v>254.84</v>
      </c>
      <c r="J76" s="57">
        <f>H76*22%</f>
        <v>121.88</v>
      </c>
      <c r="K76" s="55"/>
    </row>
    <row r="77" spans="1:12" ht="27.75" customHeight="1" x14ac:dyDescent="0.25">
      <c r="A77" s="51">
        <v>2</v>
      </c>
      <c r="B77" s="52" t="s">
        <v>670</v>
      </c>
      <c r="C77" s="164">
        <v>60</v>
      </c>
      <c r="D77" s="164">
        <v>40</v>
      </c>
      <c r="E77" s="164">
        <v>30</v>
      </c>
      <c r="F77" s="51">
        <v>2</v>
      </c>
      <c r="G77" s="52" t="s">
        <v>670</v>
      </c>
      <c r="H77" s="54">
        <f>120*1.1</f>
        <v>132</v>
      </c>
      <c r="I77" s="54">
        <f>90*1.1</f>
        <v>99.000000000000014</v>
      </c>
      <c r="J77" s="54">
        <f>80*1.1</f>
        <v>88</v>
      </c>
      <c r="K77" s="165"/>
    </row>
    <row r="78" spans="1:12" ht="27.75" customHeight="1" x14ac:dyDescent="0.25">
      <c r="A78" s="51">
        <v>3</v>
      </c>
      <c r="B78" s="52" t="s">
        <v>606</v>
      </c>
      <c r="C78" s="164">
        <v>100</v>
      </c>
      <c r="D78" s="164">
        <v>50</v>
      </c>
      <c r="E78" s="164">
        <v>25</v>
      </c>
      <c r="F78" s="51">
        <v>3</v>
      </c>
      <c r="G78" s="52" t="s">
        <v>606</v>
      </c>
      <c r="H78" s="53">
        <f>180*1.1</f>
        <v>198.00000000000003</v>
      </c>
      <c r="I78" s="53">
        <f>120*1.1</f>
        <v>132</v>
      </c>
      <c r="J78" s="54">
        <f>70*1.1</f>
        <v>77</v>
      </c>
      <c r="K78" s="55"/>
    </row>
    <row r="79" spans="1:12" x14ac:dyDescent="0.25">
      <c r="A79" s="47" t="s">
        <v>454</v>
      </c>
      <c r="B79" s="58" t="s">
        <v>671</v>
      </c>
      <c r="C79" s="164"/>
      <c r="D79" s="164"/>
      <c r="E79" s="164"/>
      <c r="F79" s="47" t="s">
        <v>454</v>
      </c>
      <c r="G79" s="58" t="s">
        <v>671</v>
      </c>
      <c r="H79" s="49"/>
      <c r="I79" s="50"/>
      <c r="J79" s="50"/>
      <c r="K79" s="55"/>
    </row>
    <row r="80" spans="1:12" ht="49.5" x14ac:dyDescent="0.25">
      <c r="A80" s="51">
        <v>1</v>
      </c>
      <c r="B80" s="52" t="s">
        <v>672</v>
      </c>
      <c r="C80" s="164">
        <v>220</v>
      </c>
      <c r="D80" s="164">
        <v>150</v>
      </c>
      <c r="E80" s="164">
        <v>80</v>
      </c>
      <c r="F80" s="51">
        <v>1</v>
      </c>
      <c r="G80" s="52" t="s">
        <v>673</v>
      </c>
      <c r="H80" s="53">
        <f>350*1.1</f>
        <v>385.00000000000006</v>
      </c>
      <c r="I80" s="54">
        <f>230*1.1</f>
        <v>253.00000000000003</v>
      </c>
      <c r="J80" s="54">
        <f>120*1.1</f>
        <v>132</v>
      </c>
      <c r="K80" s="51" t="s">
        <v>650</v>
      </c>
    </row>
    <row r="81" spans="1:12" x14ac:dyDescent="0.25">
      <c r="A81" s="51">
        <v>2</v>
      </c>
      <c r="B81" s="52" t="s">
        <v>674</v>
      </c>
      <c r="C81" s="164">
        <v>50</v>
      </c>
      <c r="D81" s="164">
        <v>38</v>
      </c>
      <c r="E81" s="164">
        <v>25</v>
      </c>
      <c r="F81" s="51">
        <v>2</v>
      </c>
      <c r="G81" s="52" t="s">
        <v>674</v>
      </c>
      <c r="H81" s="54">
        <f>120*1.1</f>
        <v>132</v>
      </c>
      <c r="I81" s="54">
        <f>90*1.1</f>
        <v>99.000000000000014</v>
      </c>
      <c r="J81" s="54">
        <f>70*1.1</f>
        <v>77</v>
      </c>
      <c r="K81" s="51"/>
    </row>
    <row r="82" spans="1:12" x14ac:dyDescent="0.25">
      <c r="A82" s="51">
        <v>3</v>
      </c>
      <c r="B82" s="52" t="s">
        <v>606</v>
      </c>
      <c r="C82" s="164">
        <v>115</v>
      </c>
      <c r="D82" s="164">
        <v>78</v>
      </c>
      <c r="E82" s="164">
        <v>50</v>
      </c>
      <c r="F82" s="51">
        <v>3</v>
      </c>
      <c r="G82" s="52" t="s">
        <v>606</v>
      </c>
      <c r="H82" s="53">
        <f>180*1.1</f>
        <v>198.00000000000003</v>
      </c>
      <c r="I82" s="54">
        <f>150*1.1</f>
        <v>165</v>
      </c>
      <c r="J82" s="54">
        <f>100*1.1</f>
        <v>110.00000000000001</v>
      </c>
      <c r="K82" s="51"/>
    </row>
    <row r="83" spans="1:12" x14ac:dyDescent="0.25">
      <c r="A83" s="47" t="s">
        <v>675</v>
      </c>
      <c r="B83" s="58" t="s">
        <v>676</v>
      </c>
      <c r="C83" s="164"/>
      <c r="D83" s="164"/>
      <c r="E83" s="164"/>
      <c r="F83" s="47" t="s">
        <v>675</v>
      </c>
      <c r="G83" s="58" t="s">
        <v>676</v>
      </c>
      <c r="H83" s="49"/>
      <c r="I83" s="59"/>
      <c r="J83" s="50"/>
      <c r="K83" s="58"/>
    </row>
    <row r="84" spans="1:12" ht="57" customHeight="1" x14ac:dyDescent="0.25">
      <c r="A84" s="51"/>
      <c r="B84" s="52"/>
      <c r="C84" s="164"/>
      <c r="D84" s="164"/>
      <c r="E84" s="164"/>
      <c r="F84" s="51">
        <v>1</v>
      </c>
      <c r="G84" s="52" t="s">
        <v>677</v>
      </c>
      <c r="H84" s="53">
        <f>500*1.1</f>
        <v>550</v>
      </c>
      <c r="I84" s="54">
        <f>250*1.1</f>
        <v>275</v>
      </c>
      <c r="J84" s="54">
        <f>150*1.1</f>
        <v>165</v>
      </c>
      <c r="K84" s="51" t="s">
        <v>596</v>
      </c>
    </row>
    <row r="85" spans="1:12" ht="39.75" customHeight="1" x14ac:dyDescent="0.25">
      <c r="A85" s="51">
        <v>1</v>
      </c>
      <c r="B85" s="52" t="s">
        <v>678</v>
      </c>
      <c r="C85" s="164">
        <v>200</v>
      </c>
      <c r="D85" s="164">
        <v>100</v>
      </c>
      <c r="E85" s="164">
        <v>50</v>
      </c>
      <c r="F85" s="51">
        <v>2</v>
      </c>
      <c r="G85" s="52" t="s">
        <v>1140</v>
      </c>
      <c r="H85" s="53">
        <f>300*1.1</f>
        <v>330</v>
      </c>
      <c r="I85" s="54">
        <f>150*1.1</f>
        <v>165</v>
      </c>
      <c r="J85" s="54">
        <f>100*1.1</f>
        <v>110.00000000000001</v>
      </c>
      <c r="K85" s="51" t="s">
        <v>650</v>
      </c>
      <c r="L85" s="158" t="s">
        <v>991</v>
      </c>
    </row>
    <row r="86" spans="1:12" ht="24.75" customHeight="1" x14ac:dyDescent="0.25">
      <c r="A86" s="51">
        <v>2</v>
      </c>
      <c r="B86" s="52" t="s">
        <v>679</v>
      </c>
      <c r="C86" s="164">
        <v>80</v>
      </c>
      <c r="D86" s="164">
        <v>50</v>
      </c>
      <c r="E86" s="164">
        <v>35</v>
      </c>
      <c r="F86" s="51">
        <v>3</v>
      </c>
      <c r="G86" s="52" t="s">
        <v>679</v>
      </c>
      <c r="H86" s="53">
        <f>150*1.1</f>
        <v>165</v>
      </c>
      <c r="I86" s="54">
        <f>100*1.1</f>
        <v>110.00000000000001</v>
      </c>
      <c r="J86" s="54">
        <f>80*1.1</f>
        <v>88</v>
      </c>
      <c r="K86" s="58"/>
    </row>
    <row r="87" spans="1:12" ht="24.75" customHeight="1" x14ac:dyDescent="0.25">
      <c r="A87" s="51">
        <v>3</v>
      </c>
      <c r="B87" s="52" t="s">
        <v>606</v>
      </c>
      <c r="C87" s="164">
        <v>50</v>
      </c>
      <c r="D87" s="164">
        <v>40</v>
      </c>
      <c r="E87" s="164">
        <v>35</v>
      </c>
      <c r="F87" s="51">
        <v>4</v>
      </c>
      <c r="G87" s="52" t="s">
        <v>606</v>
      </c>
      <c r="H87" s="53">
        <f>120*1.1</f>
        <v>132</v>
      </c>
      <c r="I87" s="54">
        <f>90*1.1</f>
        <v>99.000000000000014</v>
      </c>
      <c r="J87" s="54">
        <f>80*1.1</f>
        <v>88</v>
      </c>
      <c r="K87" s="58"/>
    </row>
    <row r="88" spans="1:12" s="168" customFormat="1" ht="48.75" customHeight="1" x14ac:dyDescent="0.25">
      <c r="A88" s="47" t="s">
        <v>680</v>
      </c>
      <c r="B88" s="58" t="s">
        <v>681</v>
      </c>
      <c r="C88" s="167"/>
      <c r="D88" s="167"/>
      <c r="E88" s="167"/>
      <c r="F88" s="47" t="s">
        <v>680</v>
      </c>
      <c r="G88" s="58" t="s">
        <v>682</v>
      </c>
      <c r="H88" s="60"/>
      <c r="I88" s="60"/>
      <c r="J88" s="60"/>
      <c r="K88" s="51" t="s">
        <v>650</v>
      </c>
    </row>
    <row r="89" spans="1:12" ht="63.75" customHeight="1" x14ac:dyDescent="0.25">
      <c r="A89" s="47" t="s">
        <v>680</v>
      </c>
      <c r="B89" s="58" t="s">
        <v>681</v>
      </c>
      <c r="C89" s="164">
        <v>170</v>
      </c>
      <c r="D89" s="164">
        <v>95</v>
      </c>
      <c r="E89" s="164">
        <v>48</v>
      </c>
      <c r="F89" s="51">
        <v>1</v>
      </c>
      <c r="G89" s="52" t="s">
        <v>1141</v>
      </c>
      <c r="H89" s="53">
        <f>260*1.1</f>
        <v>286</v>
      </c>
      <c r="I89" s="54">
        <f>150*1.1</f>
        <v>165</v>
      </c>
      <c r="J89" s="54">
        <f>110*1.1</f>
        <v>121.00000000000001</v>
      </c>
      <c r="K89" s="51" t="s">
        <v>650</v>
      </c>
      <c r="L89" s="158" t="s">
        <v>991</v>
      </c>
    </row>
    <row r="90" spans="1:12" x14ac:dyDescent="0.25">
      <c r="A90" s="47">
        <v>1</v>
      </c>
      <c r="B90" s="52" t="s">
        <v>683</v>
      </c>
      <c r="C90" s="164">
        <v>50</v>
      </c>
      <c r="D90" s="164">
        <v>37</v>
      </c>
      <c r="E90" s="164">
        <v>25</v>
      </c>
      <c r="F90" s="51">
        <v>2</v>
      </c>
      <c r="G90" s="52" t="s">
        <v>683</v>
      </c>
      <c r="H90" s="53">
        <f>120*1.1</f>
        <v>132</v>
      </c>
      <c r="I90" s="54">
        <f>90*1.1</f>
        <v>99.000000000000014</v>
      </c>
      <c r="J90" s="54">
        <f>70*1.1</f>
        <v>77</v>
      </c>
      <c r="K90" s="52"/>
    </row>
    <row r="91" spans="1:12" ht="49.5" customHeight="1" x14ac:dyDescent="0.25">
      <c r="A91" s="47" t="s">
        <v>684</v>
      </c>
      <c r="B91" s="58" t="s">
        <v>685</v>
      </c>
      <c r="C91" s="164">
        <v>190</v>
      </c>
      <c r="D91" s="164">
        <v>95</v>
      </c>
      <c r="E91" s="164">
        <v>60</v>
      </c>
      <c r="F91" s="47" t="s">
        <v>684</v>
      </c>
      <c r="G91" s="58" t="s">
        <v>685</v>
      </c>
      <c r="H91" s="57">
        <v>539</v>
      </c>
      <c r="I91" s="57">
        <f>H91*50%</f>
        <v>269.5</v>
      </c>
      <c r="J91" s="57">
        <f>H91*36.67%</f>
        <v>197.65130000000002</v>
      </c>
      <c r="K91" s="55"/>
    </row>
    <row r="92" spans="1:12" x14ac:dyDescent="0.25">
      <c r="A92" s="160"/>
      <c r="F92" s="160"/>
    </row>
    <row r="93" spans="1:12" x14ac:dyDescent="0.25">
      <c r="A93" s="160"/>
      <c r="F93" s="160"/>
    </row>
    <row r="94" spans="1:12" x14ac:dyDescent="0.25">
      <c r="A94" s="160"/>
      <c r="F94" s="160"/>
    </row>
    <row r="95" spans="1:12" x14ac:dyDescent="0.25">
      <c r="A95" s="160"/>
      <c r="F95" s="160"/>
    </row>
    <row r="96" spans="1:12" x14ac:dyDescent="0.25">
      <c r="A96" s="160"/>
      <c r="F96" s="160"/>
    </row>
    <row r="97" spans="1:6" x14ac:dyDescent="0.25">
      <c r="A97" s="160"/>
      <c r="F97" s="160"/>
    </row>
    <row r="98" spans="1:6" x14ac:dyDescent="0.25">
      <c r="A98" s="160"/>
      <c r="F98" s="160"/>
    </row>
  </sheetData>
  <mergeCells count="13">
    <mergeCell ref="K30:K31"/>
    <mergeCell ref="H2:J2"/>
    <mergeCell ref="H3:J3"/>
    <mergeCell ref="A4:E4"/>
    <mergeCell ref="F4:F5"/>
    <mergeCell ref="G4:G5"/>
    <mergeCell ref="H4:J4"/>
    <mergeCell ref="K4:K5"/>
    <mergeCell ref="A30:A31"/>
    <mergeCell ref="B30:B31"/>
    <mergeCell ref="C30:C31"/>
    <mergeCell ref="D30:D31"/>
    <mergeCell ref="E30:E31"/>
  </mergeCells>
  <pageMargins left="0.28740157500000002" right="0.19055118110236199" top="0.49055118110236201" bottom="0.19055118110236199" header="0.118110236220472" footer="0.118110236220472"/>
  <pageSetup paperSize="9" scale="95" firstPageNumber="35" orientation="portrait" useFirstPageNumber="1" r:id="rId1"/>
  <headerFooter>
    <oddHeader>&amp;C&amp;P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topLeftCell="F1" zoomScaleNormal="100" workbookViewId="0">
      <selection activeCell="P8" sqref="P8"/>
    </sheetView>
  </sheetViews>
  <sheetFormatPr defaultRowHeight="18.75" x14ac:dyDescent="0.3"/>
  <cols>
    <col min="1" max="1" width="7.42578125" style="221" hidden="1" customWidth="1"/>
    <col min="2" max="2" width="51.5703125" style="221" hidden="1" customWidth="1"/>
    <col min="3" max="5" width="7.5703125" style="258" hidden="1" customWidth="1"/>
    <col min="6" max="6" width="6.42578125" style="258" customWidth="1"/>
    <col min="7" max="7" width="59.5703125" style="221" customWidth="1"/>
    <col min="8" max="8" width="14.7109375" style="259" customWidth="1"/>
    <col min="9" max="9" width="11" style="258" customWidth="1"/>
    <col min="10" max="10" width="12.28515625" style="258" customWidth="1"/>
    <col min="11" max="11" width="10.140625" style="259" hidden="1" customWidth="1"/>
    <col min="12" max="13" width="8" style="258" hidden="1" customWidth="1"/>
    <col min="14" max="14" width="7.5703125" style="221" bestFit="1" customWidth="1"/>
    <col min="15" max="15" width="10.5703125" style="221" customWidth="1"/>
    <col min="16" max="256" width="9.140625" style="221"/>
    <col min="257" max="261" width="0" style="221" hidden="1" customWidth="1"/>
    <col min="262" max="262" width="6.42578125" style="221" customWidth="1"/>
    <col min="263" max="263" width="54.7109375" style="221" customWidth="1"/>
    <col min="264" max="266" width="8" style="221" bestFit="1" customWidth="1"/>
    <col min="267" max="269" width="0" style="221" hidden="1" customWidth="1"/>
    <col min="270" max="270" width="7.5703125" style="221" bestFit="1" customWidth="1"/>
    <col min="271" max="271" width="10.5703125" style="221" customWidth="1"/>
    <col min="272" max="512" width="9.140625" style="221"/>
    <col min="513" max="517" width="0" style="221" hidden="1" customWidth="1"/>
    <col min="518" max="518" width="6.42578125" style="221" customWidth="1"/>
    <col min="519" max="519" width="54.7109375" style="221" customWidth="1"/>
    <col min="520" max="522" width="8" style="221" bestFit="1" customWidth="1"/>
    <col min="523" max="525" width="0" style="221" hidden="1" customWidth="1"/>
    <col min="526" max="526" width="7.5703125" style="221" bestFit="1" customWidth="1"/>
    <col min="527" max="527" width="10.5703125" style="221" customWidth="1"/>
    <col min="528" max="768" width="9.140625" style="221"/>
    <col min="769" max="773" width="0" style="221" hidden="1" customWidth="1"/>
    <col min="774" max="774" width="6.42578125" style="221" customWidth="1"/>
    <col min="775" max="775" width="54.7109375" style="221" customWidth="1"/>
    <col min="776" max="778" width="8" style="221" bestFit="1" customWidth="1"/>
    <col min="779" max="781" width="0" style="221" hidden="1" customWidth="1"/>
    <col min="782" max="782" width="7.5703125" style="221" bestFit="1" customWidth="1"/>
    <col min="783" max="783" width="10.5703125" style="221" customWidth="1"/>
    <col min="784" max="1024" width="9.140625" style="221"/>
    <col min="1025" max="1029" width="0" style="221" hidden="1" customWidth="1"/>
    <col min="1030" max="1030" width="6.42578125" style="221" customWidth="1"/>
    <col min="1031" max="1031" width="54.7109375" style="221" customWidth="1"/>
    <col min="1032" max="1034" width="8" style="221" bestFit="1" customWidth="1"/>
    <col min="1035" max="1037" width="0" style="221" hidden="1" customWidth="1"/>
    <col min="1038" max="1038" width="7.5703125" style="221" bestFit="1" customWidth="1"/>
    <col min="1039" max="1039" width="10.5703125" style="221" customWidth="1"/>
    <col min="1040" max="1280" width="9.140625" style="221"/>
    <col min="1281" max="1285" width="0" style="221" hidden="1" customWidth="1"/>
    <col min="1286" max="1286" width="6.42578125" style="221" customWidth="1"/>
    <col min="1287" max="1287" width="54.7109375" style="221" customWidth="1"/>
    <col min="1288" max="1290" width="8" style="221" bestFit="1" customWidth="1"/>
    <col min="1291" max="1293" width="0" style="221" hidden="1" customWidth="1"/>
    <col min="1294" max="1294" width="7.5703125" style="221" bestFit="1" customWidth="1"/>
    <col min="1295" max="1295" width="10.5703125" style="221" customWidth="1"/>
    <col min="1296" max="1536" width="9.140625" style="221"/>
    <col min="1537" max="1541" width="0" style="221" hidden="1" customWidth="1"/>
    <col min="1542" max="1542" width="6.42578125" style="221" customWidth="1"/>
    <col min="1543" max="1543" width="54.7109375" style="221" customWidth="1"/>
    <col min="1544" max="1546" width="8" style="221" bestFit="1" customWidth="1"/>
    <col min="1547" max="1549" width="0" style="221" hidden="1" customWidth="1"/>
    <col min="1550" max="1550" width="7.5703125" style="221" bestFit="1" customWidth="1"/>
    <col min="1551" max="1551" width="10.5703125" style="221" customWidth="1"/>
    <col min="1552" max="1792" width="9.140625" style="221"/>
    <col min="1793" max="1797" width="0" style="221" hidden="1" customWidth="1"/>
    <col min="1798" max="1798" width="6.42578125" style="221" customWidth="1"/>
    <col min="1799" max="1799" width="54.7109375" style="221" customWidth="1"/>
    <col min="1800" max="1802" width="8" style="221" bestFit="1" customWidth="1"/>
    <col min="1803" max="1805" width="0" style="221" hidden="1" customWidth="1"/>
    <col min="1806" max="1806" width="7.5703125" style="221" bestFit="1" customWidth="1"/>
    <col min="1807" max="1807" width="10.5703125" style="221" customWidth="1"/>
    <col min="1808" max="2048" width="9.140625" style="221"/>
    <col min="2049" max="2053" width="0" style="221" hidden="1" customWidth="1"/>
    <col min="2054" max="2054" width="6.42578125" style="221" customWidth="1"/>
    <col min="2055" max="2055" width="54.7109375" style="221" customWidth="1"/>
    <col min="2056" max="2058" width="8" style="221" bestFit="1" customWidth="1"/>
    <col min="2059" max="2061" width="0" style="221" hidden="1" customWidth="1"/>
    <col min="2062" max="2062" width="7.5703125" style="221" bestFit="1" customWidth="1"/>
    <col min="2063" max="2063" width="10.5703125" style="221" customWidth="1"/>
    <col min="2064" max="2304" width="9.140625" style="221"/>
    <col min="2305" max="2309" width="0" style="221" hidden="1" customWidth="1"/>
    <col min="2310" max="2310" width="6.42578125" style="221" customWidth="1"/>
    <col min="2311" max="2311" width="54.7109375" style="221" customWidth="1"/>
    <col min="2312" max="2314" width="8" style="221" bestFit="1" customWidth="1"/>
    <col min="2315" max="2317" width="0" style="221" hidden="1" customWidth="1"/>
    <col min="2318" max="2318" width="7.5703125" style="221" bestFit="1" customWidth="1"/>
    <col min="2319" max="2319" width="10.5703125" style="221" customWidth="1"/>
    <col min="2320" max="2560" width="9.140625" style="221"/>
    <col min="2561" max="2565" width="0" style="221" hidden="1" customWidth="1"/>
    <col min="2566" max="2566" width="6.42578125" style="221" customWidth="1"/>
    <col min="2567" max="2567" width="54.7109375" style="221" customWidth="1"/>
    <col min="2568" max="2570" width="8" style="221" bestFit="1" customWidth="1"/>
    <col min="2571" max="2573" width="0" style="221" hidden="1" customWidth="1"/>
    <col min="2574" max="2574" width="7.5703125" style="221" bestFit="1" customWidth="1"/>
    <col min="2575" max="2575" width="10.5703125" style="221" customWidth="1"/>
    <col min="2576" max="2816" width="9.140625" style="221"/>
    <col min="2817" max="2821" width="0" style="221" hidden="1" customWidth="1"/>
    <col min="2822" max="2822" width="6.42578125" style="221" customWidth="1"/>
    <col min="2823" max="2823" width="54.7109375" style="221" customWidth="1"/>
    <col min="2824" max="2826" width="8" style="221" bestFit="1" customWidth="1"/>
    <col min="2827" max="2829" width="0" style="221" hidden="1" customWidth="1"/>
    <col min="2830" max="2830" width="7.5703125" style="221" bestFit="1" customWidth="1"/>
    <col min="2831" max="2831" width="10.5703125" style="221" customWidth="1"/>
    <col min="2832" max="3072" width="9.140625" style="221"/>
    <col min="3073" max="3077" width="0" style="221" hidden="1" customWidth="1"/>
    <col min="3078" max="3078" width="6.42578125" style="221" customWidth="1"/>
    <col min="3079" max="3079" width="54.7109375" style="221" customWidth="1"/>
    <col min="3080" max="3082" width="8" style="221" bestFit="1" customWidth="1"/>
    <col min="3083" max="3085" width="0" style="221" hidden="1" customWidth="1"/>
    <col min="3086" max="3086" width="7.5703125" style="221" bestFit="1" customWidth="1"/>
    <col min="3087" max="3087" width="10.5703125" style="221" customWidth="1"/>
    <col min="3088" max="3328" width="9.140625" style="221"/>
    <col min="3329" max="3333" width="0" style="221" hidden="1" customWidth="1"/>
    <col min="3334" max="3334" width="6.42578125" style="221" customWidth="1"/>
    <col min="3335" max="3335" width="54.7109375" style="221" customWidth="1"/>
    <col min="3336" max="3338" width="8" style="221" bestFit="1" customWidth="1"/>
    <col min="3339" max="3341" width="0" style="221" hidden="1" customWidth="1"/>
    <col min="3342" max="3342" width="7.5703125" style="221" bestFit="1" customWidth="1"/>
    <col min="3343" max="3343" width="10.5703125" style="221" customWidth="1"/>
    <col min="3344" max="3584" width="9.140625" style="221"/>
    <col min="3585" max="3589" width="0" style="221" hidden="1" customWidth="1"/>
    <col min="3590" max="3590" width="6.42578125" style="221" customWidth="1"/>
    <col min="3591" max="3591" width="54.7109375" style="221" customWidth="1"/>
    <col min="3592" max="3594" width="8" style="221" bestFit="1" customWidth="1"/>
    <col min="3595" max="3597" width="0" style="221" hidden="1" customWidth="1"/>
    <col min="3598" max="3598" width="7.5703125" style="221" bestFit="1" customWidth="1"/>
    <col min="3599" max="3599" width="10.5703125" style="221" customWidth="1"/>
    <col min="3600" max="3840" width="9.140625" style="221"/>
    <col min="3841" max="3845" width="0" style="221" hidden="1" customWidth="1"/>
    <col min="3846" max="3846" width="6.42578125" style="221" customWidth="1"/>
    <col min="3847" max="3847" width="54.7109375" style="221" customWidth="1"/>
    <col min="3848" max="3850" width="8" style="221" bestFit="1" customWidth="1"/>
    <col min="3851" max="3853" width="0" style="221" hidden="1" customWidth="1"/>
    <col min="3854" max="3854" width="7.5703125" style="221" bestFit="1" customWidth="1"/>
    <col min="3855" max="3855" width="10.5703125" style="221" customWidth="1"/>
    <col min="3856" max="4096" width="9.140625" style="221"/>
    <col min="4097" max="4101" width="0" style="221" hidden="1" customWidth="1"/>
    <col min="4102" max="4102" width="6.42578125" style="221" customWidth="1"/>
    <col min="4103" max="4103" width="54.7109375" style="221" customWidth="1"/>
    <col min="4104" max="4106" width="8" style="221" bestFit="1" customWidth="1"/>
    <col min="4107" max="4109" width="0" style="221" hidden="1" customWidth="1"/>
    <col min="4110" max="4110" width="7.5703125" style="221" bestFit="1" customWidth="1"/>
    <col min="4111" max="4111" width="10.5703125" style="221" customWidth="1"/>
    <col min="4112" max="4352" width="9.140625" style="221"/>
    <col min="4353" max="4357" width="0" style="221" hidden="1" customWidth="1"/>
    <col min="4358" max="4358" width="6.42578125" style="221" customWidth="1"/>
    <col min="4359" max="4359" width="54.7109375" style="221" customWidth="1"/>
    <col min="4360" max="4362" width="8" style="221" bestFit="1" customWidth="1"/>
    <col min="4363" max="4365" width="0" style="221" hidden="1" customWidth="1"/>
    <col min="4366" max="4366" width="7.5703125" style="221" bestFit="1" customWidth="1"/>
    <col min="4367" max="4367" width="10.5703125" style="221" customWidth="1"/>
    <col min="4368" max="4608" width="9.140625" style="221"/>
    <col min="4609" max="4613" width="0" style="221" hidden="1" customWidth="1"/>
    <col min="4614" max="4614" width="6.42578125" style="221" customWidth="1"/>
    <col min="4615" max="4615" width="54.7109375" style="221" customWidth="1"/>
    <col min="4616" max="4618" width="8" style="221" bestFit="1" customWidth="1"/>
    <col min="4619" max="4621" width="0" style="221" hidden="1" customWidth="1"/>
    <col min="4622" max="4622" width="7.5703125" style="221" bestFit="1" customWidth="1"/>
    <col min="4623" max="4623" width="10.5703125" style="221" customWidth="1"/>
    <col min="4624" max="4864" width="9.140625" style="221"/>
    <col min="4865" max="4869" width="0" style="221" hidden="1" customWidth="1"/>
    <col min="4870" max="4870" width="6.42578125" style="221" customWidth="1"/>
    <col min="4871" max="4871" width="54.7109375" style="221" customWidth="1"/>
    <col min="4872" max="4874" width="8" style="221" bestFit="1" customWidth="1"/>
    <col min="4875" max="4877" width="0" style="221" hidden="1" customWidth="1"/>
    <col min="4878" max="4878" width="7.5703125" style="221" bestFit="1" customWidth="1"/>
    <col min="4879" max="4879" width="10.5703125" style="221" customWidth="1"/>
    <col min="4880" max="5120" width="9.140625" style="221"/>
    <col min="5121" max="5125" width="0" style="221" hidden="1" customWidth="1"/>
    <col min="5126" max="5126" width="6.42578125" style="221" customWidth="1"/>
    <col min="5127" max="5127" width="54.7109375" style="221" customWidth="1"/>
    <col min="5128" max="5130" width="8" style="221" bestFit="1" customWidth="1"/>
    <col min="5131" max="5133" width="0" style="221" hidden="1" customWidth="1"/>
    <col min="5134" max="5134" width="7.5703125" style="221" bestFit="1" customWidth="1"/>
    <col min="5135" max="5135" width="10.5703125" style="221" customWidth="1"/>
    <col min="5136" max="5376" width="9.140625" style="221"/>
    <col min="5377" max="5381" width="0" style="221" hidden="1" customWidth="1"/>
    <col min="5382" max="5382" width="6.42578125" style="221" customWidth="1"/>
    <col min="5383" max="5383" width="54.7109375" style="221" customWidth="1"/>
    <col min="5384" max="5386" width="8" style="221" bestFit="1" customWidth="1"/>
    <col min="5387" max="5389" width="0" style="221" hidden="1" customWidth="1"/>
    <col min="5390" max="5390" width="7.5703125" style="221" bestFit="1" customWidth="1"/>
    <col min="5391" max="5391" width="10.5703125" style="221" customWidth="1"/>
    <col min="5392" max="5632" width="9.140625" style="221"/>
    <col min="5633" max="5637" width="0" style="221" hidden="1" customWidth="1"/>
    <col min="5638" max="5638" width="6.42578125" style="221" customWidth="1"/>
    <col min="5639" max="5639" width="54.7109375" style="221" customWidth="1"/>
    <col min="5640" max="5642" width="8" style="221" bestFit="1" customWidth="1"/>
    <col min="5643" max="5645" width="0" style="221" hidden="1" customWidth="1"/>
    <col min="5646" max="5646" width="7.5703125" style="221" bestFit="1" customWidth="1"/>
    <col min="5647" max="5647" width="10.5703125" style="221" customWidth="1"/>
    <col min="5648" max="5888" width="9.140625" style="221"/>
    <col min="5889" max="5893" width="0" style="221" hidden="1" customWidth="1"/>
    <col min="5894" max="5894" width="6.42578125" style="221" customWidth="1"/>
    <col min="5895" max="5895" width="54.7109375" style="221" customWidth="1"/>
    <col min="5896" max="5898" width="8" style="221" bestFit="1" customWidth="1"/>
    <col min="5899" max="5901" width="0" style="221" hidden="1" customWidth="1"/>
    <col min="5902" max="5902" width="7.5703125" style="221" bestFit="1" customWidth="1"/>
    <col min="5903" max="5903" width="10.5703125" style="221" customWidth="1"/>
    <col min="5904" max="6144" width="9.140625" style="221"/>
    <col min="6145" max="6149" width="0" style="221" hidden="1" customWidth="1"/>
    <col min="6150" max="6150" width="6.42578125" style="221" customWidth="1"/>
    <col min="6151" max="6151" width="54.7109375" style="221" customWidth="1"/>
    <col min="6152" max="6154" width="8" style="221" bestFit="1" customWidth="1"/>
    <col min="6155" max="6157" width="0" style="221" hidden="1" customWidth="1"/>
    <col min="6158" max="6158" width="7.5703125" style="221" bestFit="1" customWidth="1"/>
    <col min="6159" max="6159" width="10.5703125" style="221" customWidth="1"/>
    <col min="6160" max="6400" width="9.140625" style="221"/>
    <col min="6401" max="6405" width="0" style="221" hidden="1" customWidth="1"/>
    <col min="6406" max="6406" width="6.42578125" style="221" customWidth="1"/>
    <col min="6407" max="6407" width="54.7109375" style="221" customWidth="1"/>
    <col min="6408" max="6410" width="8" style="221" bestFit="1" customWidth="1"/>
    <col min="6411" max="6413" width="0" style="221" hidden="1" customWidth="1"/>
    <col min="6414" max="6414" width="7.5703125" style="221" bestFit="1" customWidth="1"/>
    <col min="6415" max="6415" width="10.5703125" style="221" customWidth="1"/>
    <col min="6416" max="6656" width="9.140625" style="221"/>
    <col min="6657" max="6661" width="0" style="221" hidden="1" customWidth="1"/>
    <col min="6662" max="6662" width="6.42578125" style="221" customWidth="1"/>
    <col min="6663" max="6663" width="54.7109375" style="221" customWidth="1"/>
    <col min="6664" max="6666" width="8" style="221" bestFit="1" customWidth="1"/>
    <col min="6667" max="6669" width="0" style="221" hidden="1" customWidth="1"/>
    <col min="6670" max="6670" width="7.5703125" style="221" bestFit="1" customWidth="1"/>
    <col min="6671" max="6671" width="10.5703125" style="221" customWidth="1"/>
    <col min="6672" max="6912" width="9.140625" style="221"/>
    <col min="6913" max="6917" width="0" style="221" hidden="1" customWidth="1"/>
    <col min="6918" max="6918" width="6.42578125" style="221" customWidth="1"/>
    <col min="6919" max="6919" width="54.7109375" style="221" customWidth="1"/>
    <col min="6920" max="6922" width="8" style="221" bestFit="1" customWidth="1"/>
    <col min="6923" max="6925" width="0" style="221" hidden="1" customWidth="1"/>
    <col min="6926" max="6926" width="7.5703125" style="221" bestFit="1" customWidth="1"/>
    <col min="6927" max="6927" width="10.5703125" style="221" customWidth="1"/>
    <col min="6928" max="7168" width="9.140625" style="221"/>
    <col min="7169" max="7173" width="0" style="221" hidden="1" customWidth="1"/>
    <col min="7174" max="7174" width="6.42578125" style="221" customWidth="1"/>
    <col min="7175" max="7175" width="54.7109375" style="221" customWidth="1"/>
    <col min="7176" max="7178" width="8" style="221" bestFit="1" customWidth="1"/>
    <col min="7179" max="7181" width="0" style="221" hidden="1" customWidth="1"/>
    <col min="7182" max="7182" width="7.5703125" style="221" bestFit="1" customWidth="1"/>
    <col min="7183" max="7183" width="10.5703125" style="221" customWidth="1"/>
    <col min="7184" max="7424" width="9.140625" style="221"/>
    <col min="7425" max="7429" width="0" style="221" hidden="1" customWidth="1"/>
    <col min="7430" max="7430" width="6.42578125" style="221" customWidth="1"/>
    <col min="7431" max="7431" width="54.7109375" style="221" customWidth="1"/>
    <col min="7432" max="7434" width="8" style="221" bestFit="1" customWidth="1"/>
    <col min="7435" max="7437" width="0" style="221" hidden="1" customWidth="1"/>
    <col min="7438" max="7438" width="7.5703125" style="221" bestFit="1" customWidth="1"/>
    <col min="7439" max="7439" width="10.5703125" style="221" customWidth="1"/>
    <col min="7440" max="7680" width="9.140625" style="221"/>
    <col min="7681" max="7685" width="0" style="221" hidden="1" customWidth="1"/>
    <col min="7686" max="7686" width="6.42578125" style="221" customWidth="1"/>
    <col min="7687" max="7687" width="54.7109375" style="221" customWidth="1"/>
    <col min="7688" max="7690" width="8" style="221" bestFit="1" customWidth="1"/>
    <col min="7691" max="7693" width="0" style="221" hidden="1" customWidth="1"/>
    <col min="7694" max="7694" width="7.5703125" style="221" bestFit="1" customWidth="1"/>
    <col min="7695" max="7695" width="10.5703125" style="221" customWidth="1"/>
    <col min="7696" max="7936" width="9.140625" style="221"/>
    <col min="7937" max="7941" width="0" style="221" hidden="1" customWidth="1"/>
    <col min="7942" max="7942" width="6.42578125" style="221" customWidth="1"/>
    <col min="7943" max="7943" width="54.7109375" style="221" customWidth="1"/>
    <col min="7944" max="7946" width="8" style="221" bestFit="1" customWidth="1"/>
    <col min="7947" max="7949" width="0" style="221" hidden="1" customWidth="1"/>
    <col min="7950" max="7950" width="7.5703125" style="221" bestFit="1" customWidth="1"/>
    <col min="7951" max="7951" width="10.5703125" style="221" customWidth="1"/>
    <col min="7952" max="8192" width="9.140625" style="221"/>
    <col min="8193" max="8197" width="0" style="221" hidden="1" customWidth="1"/>
    <col min="8198" max="8198" width="6.42578125" style="221" customWidth="1"/>
    <col min="8199" max="8199" width="54.7109375" style="221" customWidth="1"/>
    <col min="8200" max="8202" width="8" style="221" bestFit="1" customWidth="1"/>
    <col min="8203" max="8205" width="0" style="221" hidden="1" customWidth="1"/>
    <col min="8206" max="8206" width="7.5703125" style="221" bestFit="1" customWidth="1"/>
    <col min="8207" max="8207" width="10.5703125" style="221" customWidth="1"/>
    <col min="8208" max="8448" width="9.140625" style="221"/>
    <col min="8449" max="8453" width="0" style="221" hidden="1" customWidth="1"/>
    <col min="8454" max="8454" width="6.42578125" style="221" customWidth="1"/>
    <col min="8455" max="8455" width="54.7109375" style="221" customWidth="1"/>
    <col min="8456" max="8458" width="8" style="221" bestFit="1" customWidth="1"/>
    <col min="8459" max="8461" width="0" style="221" hidden="1" customWidth="1"/>
    <col min="8462" max="8462" width="7.5703125" style="221" bestFit="1" customWidth="1"/>
    <col min="8463" max="8463" width="10.5703125" style="221" customWidth="1"/>
    <col min="8464" max="8704" width="9.140625" style="221"/>
    <col min="8705" max="8709" width="0" style="221" hidden="1" customWidth="1"/>
    <col min="8710" max="8710" width="6.42578125" style="221" customWidth="1"/>
    <col min="8711" max="8711" width="54.7109375" style="221" customWidth="1"/>
    <col min="8712" max="8714" width="8" style="221" bestFit="1" customWidth="1"/>
    <col min="8715" max="8717" width="0" style="221" hidden="1" customWidth="1"/>
    <col min="8718" max="8718" width="7.5703125" style="221" bestFit="1" customWidth="1"/>
    <col min="8719" max="8719" width="10.5703125" style="221" customWidth="1"/>
    <col min="8720" max="8960" width="9.140625" style="221"/>
    <col min="8961" max="8965" width="0" style="221" hidden="1" customWidth="1"/>
    <col min="8966" max="8966" width="6.42578125" style="221" customWidth="1"/>
    <col min="8967" max="8967" width="54.7109375" style="221" customWidth="1"/>
    <col min="8968" max="8970" width="8" style="221" bestFit="1" customWidth="1"/>
    <col min="8971" max="8973" width="0" style="221" hidden="1" customWidth="1"/>
    <col min="8974" max="8974" width="7.5703125" style="221" bestFit="1" customWidth="1"/>
    <col min="8975" max="8975" width="10.5703125" style="221" customWidth="1"/>
    <col min="8976" max="9216" width="9.140625" style="221"/>
    <col min="9217" max="9221" width="0" style="221" hidden="1" customWidth="1"/>
    <col min="9222" max="9222" width="6.42578125" style="221" customWidth="1"/>
    <col min="9223" max="9223" width="54.7109375" style="221" customWidth="1"/>
    <col min="9224" max="9226" width="8" style="221" bestFit="1" customWidth="1"/>
    <col min="9227" max="9229" width="0" style="221" hidden="1" customWidth="1"/>
    <col min="9230" max="9230" width="7.5703125" style="221" bestFit="1" customWidth="1"/>
    <col min="9231" max="9231" width="10.5703125" style="221" customWidth="1"/>
    <col min="9232" max="9472" width="9.140625" style="221"/>
    <col min="9473" max="9477" width="0" style="221" hidden="1" customWidth="1"/>
    <col min="9478" max="9478" width="6.42578125" style="221" customWidth="1"/>
    <col min="9479" max="9479" width="54.7109375" style="221" customWidth="1"/>
    <col min="9480" max="9482" width="8" style="221" bestFit="1" customWidth="1"/>
    <col min="9483" max="9485" width="0" style="221" hidden="1" customWidth="1"/>
    <col min="9486" max="9486" width="7.5703125" style="221" bestFit="1" customWidth="1"/>
    <col min="9487" max="9487" width="10.5703125" style="221" customWidth="1"/>
    <col min="9488" max="9728" width="9.140625" style="221"/>
    <col min="9729" max="9733" width="0" style="221" hidden="1" customWidth="1"/>
    <col min="9734" max="9734" width="6.42578125" style="221" customWidth="1"/>
    <col min="9735" max="9735" width="54.7109375" style="221" customWidth="1"/>
    <col min="9736" max="9738" width="8" style="221" bestFit="1" customWidth="1"/>
    <col min="9739" max="9741" width="0" style="221" hidden="1" customWidth="1"/>
    <col min="9742" max="9742" width="7.5703125" style="221" bestFit="1" customWidth="1"/>
    <col min="9743" max="9743" width="10.5703125" style="221" customWidth="1"/>
    <col min="9744" max="9984" width="9.140625" style="221"/>
    <col min="9985" max="9989" width="0" style="221" hidden="1" customWidth="1"/>
    <col min="9990" max="9990" width="6.42578125" style="221" customWidth="1"/>
    <col min="9991" max="9991" width="54.7109375" style="221" customWidth="1"/>
    <col min="9992" max="9994" width="8" style="221" bestFit="1" customWidth="1"/>
    <col min="9995" max="9997" width="0" style="221" hidden="1" customWidth="1"/>
    <col min="9998" max="9998" width="7.5703125" style="221" bestFit="1" customWidth="1"/>
    <col min="9999" max="9999" width="10.5703125" style="221" customWidth="1"/>
    <col min="10000" max="10240" width="9.140625" style="221"/>
    <col min="10241" max="10245" width="0" style="221" hidden="1" customWidth="1"/>
    <col min="10246" max="10246" width="6.42578125" style="221" customWidth="1"/>
    <col min="10247" max="10247" width="54.7109375" style="221" customWidth="1"/>
    <col min="10248" max="10250" width="8" style="221" bestFit="1" customWidth="1"/>
    <col min="10251" max="10253" width="0" style="221" hidden="1" customWidth="1"/>
    <col min="10254" max="10254" width="7.5703125" style="221" bestFit="1" customWidth="1"/>
    <col min="10255" max="10255" width="10.5703125" style="221" customWidth="1"/>
    <col min="10256" max="10496" width="9.140625" style="221"/>
    <col min="10497" max="10501" width="0" style="221" hidden="1" customWidth="1"/>
    <col min="10502" max="10502" width="6.42578125" style="221" customWidth="1"/>
    <col min="10503" max="10503" width="54.7109375" style="221" customWidth="1"/>
    <col min="10504" max="10506" width="8" style="221" bestFit="1" customWidth="1"/>
    <col min="10507" max="10509" width="0" style="221" hidden="1" customWidth="1"/>
    <col min="10510" max="10510" width="7.5703125" style="221" bestFit="1" customWidth="1"/>
    <col min="10511" max="10511" width="10.5703125" style="221" customWidth="1"/>
    <col min="10512" max="10752" width="9.140625" style="221"/>
    <col min="10753" max="10757" width="0" style="221" hidden="1" customWidth="1"/>
    <col min="10758" max="10758" width="6.42578125" style="221" customWidth="1"/>
    <col min="10759" max="10759" width="54.7109375" style="221" customWidth="1"/>
    <col min="10760" max="10762" width="8" style="221" bestFit="1" customWidth="1"/>
    <col min="10763" max="10765" width="0" style="221" hidden="1" customWidth="1"/>
    <col min="10766" max="10766" width="7.5703125" style="221" bestFit="1" customWidth="1"/>
    <col min="10767" max="10767" width="10.5703125" style="221" customWidth="1"/>
    <col min="10768" max="11008" width="9.140625" style="221"/>
    <col min="11009" max="11013" width="0" style="221" hidden="1" customWidth="1"/>
    <col min="11014" max="11014" width="6.42578125" style="221" customWidth="1"/>
    <col min="11015" max="11015" width="54.7109375" style="221" customWidth="1"/>
    <col min="11016" max="11018" width="8" style="221" bestFit="1" customWidth="1"/>
    <col min="11019" max="11021" width="0" style="221" hidden="1" customWidth="1"/>
    <col min="11022" max="11022" width="7.5703125" style="221" bestFit="1" customWidth="1"/>
    <col min="11023" max="11023" width="10.5703125" style="221" customWidth="1"/>
    <col min="11024" max="11264" width="9.140625" style="221"/>
    <col min="11265" max="11269" width="0" style="221" hidden="1" customWidth="1"/>
    <col min="11270" max="11270" width="6.42578125" style="221" customWidth="1"/>
    <col min="11271" max="11271" width="54.7109375" style="221" customWidth="1"/>
    <col min="11272" max="11274" width="8" style="221" bestFit="1" customWidth="1"/>
    <col min="11275" max="11277" width="0" style="221" hidden="1" customWidth="1"/>
    <col min="11278" max="11278" width="7.5703125" style="221" bestFit="1" customWidth="1"/>
    <col min="11279" max="11279" width="10.5703125" style="221" customWidth="1"/>
    <col min="11280" max="11520" width="9.140625" style="221"/>
    <col min="11521" max="11525" width="0" style="221" hidden="1" customWidth="1"/>
    <col min="11526" max="11526" width="6.42578125" style="221" customWidth="1"/>
    <col min="11527" max="11527" width="54.7109375" style="221" customWidth="1"/>
    <col min="11528" max="11530" width="8" style="221" bestFit="1" customWidth="1"/>
    <col min="11531" max="11533" width="0" style="221" hidden="1" customWidth="1"/>
    <col min="11534" max="11534" width="7.5703125" style="221" bestFit="1" customWidth="1"/>
    <col min="11535" max="11535" width="10.5703125" style="221" customWidth="1"/>
    <col min="11536" max="11776" width="9.140625" style="221"/>
    <col min="11777" max="11781" width="0" style="221" hidden="1" customWidth="1"/>
    <col min="11782" max="11782" width="6.42578125" style="221" customWidth="1"/>
    <col min="11783" max="11783" width="54.7109375" style="221" customWidth="1"/>
    <col min="11784" max="11786" width="8" style="221" bestFit="1" customWidth="1"/>
    <col min="11787" max="11789" width="0" style="221" hidden="1" customWidth="1"/>
    <col min="11790" max="11790" width="7.5703125" style="221" bestFit="1" customWidth="1"/>
    <col min="11791" max="11791" width="10.5703125" style="221" customWidth="1"/>
    <col min="11792" max="12032" width="9.140625" style="221"/>
    <col min="12033" max="12037" width="0" style="221" hidden="1" customWidth="1"/>
    <col min="12038" max="12038" width="6.42578125" style="221" customWidth="1"/>
    <col min="12039" max="12039" width="54.7109375" style="221" customWidth="1"/>
    <col min="12040" max="12042" width="8" style="221" bestFit="1" customWidth="1"/>
    <col min="12043" max="12045" width="0" style="221" hidden="1" customWidth="1"/>
    <col min="12046" max="12046" width="7.5703125" style="221" bestFit="1" customWidth="1"/>
    <col min="12047" max="12047" width="10.5703125" style="221" customWidth="1"/>
    <col min="12048" max="12288" width="9.140625" style="221"/>
    <col min="12289" max="12293" width="0" style="221" hidden="1" customWidth="1"/>
    <col min="12294" max="12294" width="6.42578125" style="221" customWidth="1"/>
    <col min="12295" max="12295" width="54.7109375" style="221" customWidth="1"/>
    <col min="12296" max="12298" width="8" style="221" bestFit="1" customWidth="1"/>
    <col min="12299" max="12301" width="0" style="221" hidden="1" customWidth="1"/>
    <col min="12302" max="12302" width="7.5703125" style="221" bestFit="1" customWidth="1"/>
    <col min="12303" max="12303" width="10.5703125" style="221" customWidth="1"/>
    <col min="12304" max="12544" width="9.140625" style="221"/>
    <col min="12545" max="12549" width="0" style="221" hidden="1" customWidth="1"/>
    <col min="12550" max="12550" width="6.42578125" style="221" customWidth="1"/>
    <col min="12551" max="12551" width="54.7109375" style="221" customWidth="1"/>
    <col min="12552" max="12554" width="8" style="221" bestFit="1" customWidth="1"/>
    <col min="12555" max="12557" width="0" style="221" hidden="1" customWidth="1"/>
    <col min="12558" max="12558" width="7.5703125" style="221" bestFit="1" customWidth="1"/>
    <col min="12559" max="12559" width="10.5703125" style="221" customWidth="1"/>
    <col min="12560" max="12800" width="9.140625" style="221"/>
    <col min="12801" max="12805" width="0" style="221" hidden="1" customWidth="1"/>
    <col min="12806" max="12806" width="6.42578125" style="221" customWidth="1"/>
    <col min="12807" max="12807" width="54.7109375" style="221" customWidth="1"/>
    <col min="12808" max="12810" width="8" style="221" bestFit="1" customWidth="1"/>
    <col min="12811" max="12813" width="0" style="221" hidden="1" customWidth="1"/>
    <col min="12814" max="12814" width="7.5703125" style="221" bestFit="1" customWidth="1"/>
    <col min="12815" max="12815" width="10.5703125" style="221" customWidth="1"/>
    <col min="12816" max="13056" width="9.140625" style="221"/>
    <col min="13057" max="13061" width="0" style="221" hidden="1" customWidth="1"/>
    <col min="13062" max="13062" width="6.42578125" style="221" customWidth="1"/>
    <col min="13063" max="13063" width="54.7109375" style="221" customWidth="1"/>
    <col min="13064" max="13066" width="8" style="221" bestFit="1" customWidth="1"/>
    <col min="13067" max="13069" width="0" style="221" hidden="1" customWidth="1"/>
    <col min="13070" max="13070" width="7.5703125" style="221" bestFit="1" customWidth="1"/>
    <col min="13071" max="13071" width="10.5703125" style="221" customWidth="1"/>
    <col min="13072" max="13312" width="9.140625" style="221"/>
    <col min="13313" max="13317" width="0" style="221" hidden="1" customWidth="1"/>
    <col min="13318" max="13318" width="6.42578125" style="221" customWidth="1"/>
    <col min="13319" max="13319" width="54.7109375" style="221" customWidth="1"/>
    <col min="13320" max="13322" width="8" style="221" bestFit="1" customWidth="1"/>
    <col min="13323" max="13325" width="0" style="221" hidden="1" customWidth="1"/>
    <col min="13326" max="13326" width="7.5703125" style="221" bestFit="1" customWidth="1"/>
    <col min="13327" max="13327" width="10.5703125" style="221" customWidth="1"/>
    <col min="13328" max="13568" width="9.140625" style="221"/>
    <col min="13569" max="13573" width="0" style="221" hidden="1" customWidth="1"/>
    <col min="13574" max="13574" width="6.42578125" style="221" customWidth="1"/>
    <col min="13575" max="13575" width="54.7109375" style="221" customWidth="1"/>
    <col min="13576" max="13578" width="8" style="221" bestFit="1" customWidth="1"/>
    <col min="13579" max="13581" width="0" style="221" hidden="1" customWidth="1"/>
    <col min="13582" max="13582" width="7.5703125" style="221" bestFit="1" customWidth="1"/>
    <col min="13583" max="13583" width="10.5703125" style="221" customWidth="1"/>
    <col min="13584" max="13824" width="9.140625" style="221"/>
    <col min="13825" max="13829" width="0" style="221" hidden="1" customWidth="1"/>
    <col min="13830" max="13830" width="6.42578125" style="221" customWidth="1"/>
    <col min="13831" max="13831" width="54.7109375" style="221" customWidth="1"/>
    <col min="13832" max="13834" width="8" style="221" bestFit="1" customWidth="1"/>
    <col min="13835" max="13837" width="0" style="221" hidden="1" customWidth="1"/>
    <col min="13838" max="13838" width="7.5703125" style="221" bestFit="1" customWidth="1"/>
    <col min="13839" max="13839" width="10.5703125" style="221" customWidth="1"/>
    <col min="13840" max="14080" width="9.140625" style="221"/>
    <col min="14081" max="14085" width="0" style="221" hidden="1" customWidth="1"/>
    <col min="14086" max="14086" width="6.42578125" style="221" customWidth="1"/>
    <col min="14087" max="14087" width="54.7109375" style="221" customWidth="1"/>
    <col min="14088" max="14090" width="8" style="221" bestFit="1" customWidth="1"/>
    <col min="14091" max="14093" width="0" style="221" hidden="1" customWidth="1"/>
    <col min="14094" max="14094" width="7.5703125" style="221" bestFit="1" customWidth="1"/>
    <col min="14095" max="14095" width="10.5703125" style="221" customWidth="1"/>
    <col min="14096" max="14336" width="9.140625" style="221"/>
    <col min="14337" max="14341" width="0" style="221" hidden="1" customWidth="1"/>
    <col min="14342" max="14342" width="6.42578125" style="221" customWidth="1"/>
    <col min="14343" max="14343" width="54.7109375" style="221" customWidth="1"/>
    <col min="14344" max="14346" width="8" style="221" bestFit="1" customWidth="1"/>
    <col min="14347" max="14349" width="0" style="221" hidden="1" customWidth="1"/>
    <col min="14350" max="14350" width="7.5703125" style="221" bestFit="1" customWidth="1"/>
    <col min="14351" max="14351" width="10.5703125" style="221" customWidth="1"/>
    <col min="14352" max="14592" width="9.140625" style="221"/>
    <col min="14593" max="14597" width="0" style="221" hidden="1" customWidth="1"/>
    <col min="14598" max="14598" width="6.42578125" style="221" customWidth="1"/>
    <col min="14599" max="14599" width="54.7109375" style="221" customWidth="1"/>
    <col min="14600" max="14602" width="8" style="221" bestFit="1" customWidth="1"/>
    <col min="14603" max="14605" width="0" style="221" hidden="1" customWidth="1"/>
    <col min="14606" max="14606" width="7.5703125" style="221" bestFit="1" customWidth="1"/>
    <col min="14607" max="14607" width="10.5703125" style="221" customWidth="1"/>
    <col min="14608" max="14848" width="9.140625" style="221"/>
    <col min="14849" max="14853" width="0" style="221" hidden="1" customWidth="1"/>
    <col min="14854" max="14854" width="6.42578125" style="221" customWidth="1"/>
    <col min="14855" max="14855" width="54.7109375" style="221" customWidth="1"/>
    <col min="14856" max="14858" width="8" style="221" bestFit="1" customWidth="1"/>
    <col min="14859" max="14861" width="0" style="221" hidden="1" customWidth="1"/>
    <col min="14862" max="14862" width="7.5703125" style="221" bestFit="1" customWidth="1"/>
    <col min="14863" max="14863" width="10.5703125" style="221" customWidth="1"/>
    <col min="14864" max="15104" width="9.140625" style="221"/>
    <col min="15105" max="15109" width="0" style="221" hidden="1" customWidth="1"/>
    <col min="15110" max="15110" width="6.42578125" style="221" customWidth="1"/>
    <col min="15111" max="15111" width="54.7109375" style="221" customWidth="1"/>
    <col min="15112" max="15114" width="8" style="221" bestFit="1" customWidth="1"/>
    <col min="15115" max="15117" width="0" style="221" hidden="1" customWidth="1"/>
    <col min="15118" max="15118" width="7.5703125" style="221" bestFit="1" customWidth="1"/>
    <col min="15119" max="15119" width="10.5703125" style="221" customWidth="1"/>
    <col min="15120" max="15360" width="9.140625" style="221"/>
    <col min="15361" max="15365" width="0" style="221" hidden="1" customWidth="1"/>
    <col min="15366" max="15366" width="6.42578125" style="221" customWidth="1"/>
    <col min="15367" max="15367" width="54.7109375" style="221" customWidth="1"/>
    <col min="15368" max="15370" width="8" style="221" bestFit="1" customWidth="1"/>
    <col min="15371" max="15373" width="0" style="221" hidden="1" customWidth="1"/>
    <col min="15374" max="15374" width="7.5703125" style="221" bestFit="1" customWidth="1"/>
    <col min="15375" max="15375" width="10.5703125" style="221" customWidth="1"/>
    <col min="15376" max="15616" width="9.140625" style="221"/>
    <col min="15617" max="15621" width="0" style="221" hidden="1" customWidth="1"/>
    <col min="15622" max="15622" width="6.42578125" style="221" customWidth="1"/>
    <col min="15623" max="15623" width="54.7109375" style="221" customWidth="1"/>
    <col min="15624" max="15626" width="8" style="221" bestFit="1" customWidth="1"/>
    <col min="15627" max="15629" width="0" style="221" hidden="1" customWidth="1"/>
    <col min="15630" max="15630" width="7.5703125" style="221" bestFit="1" customWidth="1"/>
    <col min="15631" max="15631" width="10.5703125" style="221" customWidth="1"/>
    <col min="15632" max="15872" width="9.140625" style="221"/>
    <col min="15873" max="15877" width="0" style="221" hidden="1" customWidth="1"/>
    <col min="15878" max="15878" width="6.42578125" style="221" customWidth="1"/>
    <col min="15879" max="15879" width="54.7109375" style="221" customWidth="1"/>
    <col min="15880" max="15882" width="8" style="221" bestFit="1" customWidth="1"/>
    <col min="15883" max="15885" width="0" style="221" hidden="1" customWidth="1"/>
    <col min="15886" max="15886" width="7.5703125" style="221" bestFit="1" customWidth="1"/>
    <col min="15887" max="15887" width="10.5703125" style="221" customWidth="1"/>
    <col min="15888" max="16128" width="9.140625" style="221"/>
    <col min="16129" max="16133" width="0" style="221" hidden="1" customWidth="1"/>
    <col min="16134" max="16134" width="6.42578125" style="221" customWidth="1"/>
    <col min="16135" max="16135" width="54.7109375" style="221" customWidth="1"/>
    <col min="16136" max="16138" width="8" style="221" bestFit="1" customWidth="1"/>
    <col min="16139" max="16141" width="0" style="221" hidden="1" customWidth="1"/>
    <col min="16142" max="16142" width="7.5703125" style="221" bestFit="1" customWidth="1"/>
    <col min="16143" max="16143" width="10.5703125" style="221" customWidth="1"/>
    <col min="16144" max="16384" width="9.140625" style="221"/>
  </cols>
  <sheetData>
    <row r="1" spans="1:13" ht="27" customHeight="1" x14ac:dyDescent="0.3">
      <c r="A1" s="218"/>
      <c r="B1" s="218"/>
      <c r="C1" s="219"/>
      <c r="D1" s="219"/>
      <c r="E1" s="219"/>
      <c r="F1" s="338" t="s">
        <v>1315</v>
      </c>
      <c r="G1" s="338"/>
      <c r="H1" s="338"/>
      <c r="I1" s="338"/>
      <c r="J1" s="338"/>
      <c r="K1" s="220"/>
      <c r="L1" s="219"/>
      <c r="M1" s="219"/>
    </row>
    <row r="2" spans="1:13" ht="26.25" customHeight="1" x14ac:dyDescent="0.3">
      <c r="A2" s="218"/>
      <c r="B2" s="218"/>
      <c r="C2" s="219"/>
      <c r="D2" s="219"/>
      <c r="E2" s="219"/>
      <c r="F2" s="219"/>
      <c r="G2" s="344" t="s">
        <v>962</v>
      </c>
      <c r="H2" s="344"/>
      <c r="I2" s="344"/>
      <c r="J2" s="344"/>
      <c r="K2" s="220"/>
      <c r="L2" s="219"/>
      <c r="M2" s="219"/>
    </row>
    <row r="3" spans="1:13" s="224" customFormat="1" ht="16.5" x14ac:dyDescent="0.25">
      <c r="A3" s="222" t="s">
        <v>0</v>
      </c>
      <c r="B3" s="223" t="s">
        <v>1</v>
      </c>
      <c r="C3" s="339" t="s">
        <v>2</v>
      </c>
      <c r="D3" s="340"/>
      <c r="E3" s="341"/>
      <c r="F3" s="342" t="s">
        <v>0</v>
      </c>
      <c r="G3" s="342" t="s">
        <v>1</v>
      </c>
      <c r="H3" s="339" t="s">
        <v>1135</v>
      </c>
      <c r="I3" s="340"/>
      <c r="J3" s="341"/>
      <c r="K3" s="339" t="s">
        <v>1056</v>
      </c>
      <c r="L3" s="340"/>
      <c r="M3" s="341"/>
    </row>
    <row r="4" spans="1:13" s="224" customFormat="1" ht="21.75" customHeight="1" x14ac:dyDescent="0.25">
      <c r="A4" s="222"/>
      <c r="B4" s="225"/>
      <c r="C4" s="222" t="s">
        <v>6</v>
      </c>
      <c r="D4" s="222" t="s">
        <v>3</v>
      </c>
      <c r="E4" s="222" t="s">
        <v>7</v>
      </c>
      <c r="F4" s="343"/>
      <c r="G4" s="343"/>
      <c r="H4" s="222" t="s">
        <v>6</v>
      </c>
      <c r="I4" s="222" t="s">
        <v>3</v>
      </c>
      <c r="J4" s="222" t="s">
        <v>7</v>
      </c>
      <c r="K4" s="222" t="s">
        <v>6</v>
      </c>
      <c r="L4" s="222" t="s">
        <v>3</v>
      </c>
      <c r="M4" s="222" t="s">
        <v>7</v>
      </c>
    </row>
    <row r="5" spans="1:13" s="224" customFormat="1" ht="16.5" x14ac:dyDescent="0.25">
      <c r="A5" s="222"/>
      <c r="B5" s="226" t="s">
        <v>1057</v>
      </c>
      <c r="C5" s="227"/>
      <c r="D5" s="222"/>
      <c r="E5" s="222"/>
      <c r="F5" s="222"/>
      <c r="G5" s="226" t="s">
        <v>1057</v>
      </c>
      <c r="H5" s="222"/>
      <c r="I5" s="222"/>
      <c r="J5" s="222"/>
      <c r="K5" s="222"/>
      <c r="L5" s="222"/>
      <c r="M5" s="222"/>
    </row>
    <row r="6" spans="1:13" s="224" customFormat="1" ht="24.75" customHeight="1" x14ac:dyDescent="0.25">
      <c r="A6" s="228">
        <v>1</v>
      </c>
      <c r="B6" s="229" t="s">
        <v>686</v>
      </c>
      <c r="C6" s="230">
        <v>3500</v>
      </c>
      <c r="D6" s="231"/>
      <c r="E6" s="231"/>
      <c r="F6" s="232" t="s">
        <v>12</v>
      </c>
      <c r="G6" s="229" t="s">
        <v>686</v>
      </c>
      <c r="H6" s="230">
        <f>C6*1.1</f>
        <v>3850.0000000000005</v>
      </c>
      <c r="I6" s="230"/>
      <c r="J6" s="230"/>
      <c r="K6" s="233">
        <f>H6/C6*100-100</f>
        <v>10.000000000000014</v>
      </c>
      <c r="L6" s="233"/>
      <c r="M6" s="233"/>
    </row>
    <row r="7" spans="1:13" s="224" customFormat="1" ht="24.75" customHeight="1" x14ac:dyDescent="0.25">
      <c r="A7" s="228">
        <v>2</v>
      </c>
      <c r="B7" s="229" t="s">
        <v>687</v>
      </c>
      <c r="C7" s="230">
        <v>3000</v>
      </c>
      <c r="D7" s="234"/>
      <c r="E7" s="234"/>
      <c r="F7" s="232" t="s">
        <v>14</v>
      </c>
      <c r="G7" s="229" t="s">
        <v>687</v>
      </c>
      <c r="H7" s="230">
        <f>C7*1.1</f>
        <v>3300.0000000000005</v>
      </c>
      <c r="I7" s="234"/>
      <c r="J7" s="234"/>
      <c r="K7" s="233">
        <f t="shared" ref="K7:M34" si="0">H7/C7*100-100</f>
        <v>10.000000000000014</v>
      </c>
      <c r="L7" s="235"/>
      <c r="M7" s="235"/>
    </row>
    <row r="8" spans="1:13" s="224" customFormat="1" ht="43.5" customHeight="1" x14ac:dyDescent="0.25">
      <c r="A8" s="228">
        <v>3</v>
      </c>
      <c r="B8" s="229" t="s">
        <v>688</v>
      </c>
      <c r="C8" s="230">
        <v>3000</v>
      </c>
      <c r="D8" s="169"/>
      <c r="E8" s="236"/>
      <c r="F8" s="232" t="s">
        <v>99</v>
      </c>
      <c r="G8" s="229" t="s">
        <v>688</v>
      </c>
      <c r="H8" s="230">
        <f>C8*1.1</f>
        <v>3300.0000000000005</v>
      </c>
      <c r="I8" s="169"/>
      <c r="J8" s="236"/>
      <c r="K8" s="233">
        <f t="shared" si="0"/>
        <v>10.000000000000014</v>
      </c>
      <c r="L8" s="63"/>
      <c r="M8" s="237"/>
    </row>
    <row r="9" spans="1:13" s="224" customFormat="1" ht="45.75" customHeight="1" x14ac:dyDescent="0.25">
      <c r="A9" s="228">
        <v>4</v>
      </c>
      <c r="B9" s="229" t="s">
        <v>689</v>
      </c>
      <c r="C9" s="230">
        <v>2500</v>
      </c>
      <c r="D9" s="231"/>
      <c r="E9" s="231"/>
      <c r="F9" s="232" t="s">
        <v>100</v>
      </c>
      <c r="G9" s="238" t="s">
        <v>690</v>
      </c>
      <c r="H9" s="272">
        <v>3000</v>
      </c>
      <c r="I9" s="231"/>
      <c r="J9" s="231"/>
      <c r="K9" s="233">
        <f t="shared" si="0"/>
        <v>20</v>
      </c>
      <c r="L9" s="228"/>
      <c r="M9" s="228"/>
    </row>
    <row r="10" spans="1:13" s="224" customFormat="1" ht="49.5" x14ac:dyDescent="0.25">
      <c r="A10" s="228">
        <v>5</v>
      </c>
      <c r="B10" s="229" t="s">
        <v>691</v>
      </c>
      <c r="C10" s="230">
        <v>1500</v>
      </c>
      <c r="D10" s="234"/>
      <c r="E10" s="234"/>
      <c r="F10" s="232" t="s">
        <v>101</v>
      </c>
      <c r="G10" s="239" t="s">
        <v>1058</v>
      </c>
      <c r="H10" s="230">
        <v>1800</v>
      </c>
      <c r="I10" s="234"/>
      <c r="J10" s="234"/>
      <c r="K10" s="233">
        <f t="shared" si="0"/>
        <v>20</v>
      </c>
      <c r="L10" s="235"/>
      <c r="M10" s="235"/>
    </row>
    <row r="11" spans="1:13" s="224" customFormat="1" ht="33" x14ac:dyDescent="0.25">
      <c r="A11" s="228"/>
      <c r="B11" s="229"/>
      <c r="C11" s="230"/>
      <c r="D11" s="234"/>
      <c r="E11" s="234"/>
      <c r="F11" s="232" t="s">
        <v>103</v>
      </c>
      <c r="G11" s="229" t="s">
        <v>1059</v>
      </c>
      <c r="H11" s="230">
        <v>1700</v>
      </c>
      <c r="I11" s="234"/>
      <c r="J11" s="234"/>
      <c r="K11" s="233"/>
      <c r="L11" s="235"/>
      <c r="M11" s="235"/>
    </row>
    <row r="12" spans="1:13" s="224" customFormat="1" ht="33" x14ac:dyDescent="0.25">
      <c r="A12" s="228"/>
      <c r="B12" s="229"/>
      <c r="C12" s="230"/>
      <c r="D12" s="234"/>
      <c r="E12" s="234"/>
      <c r="F12" s="232" t="s">
        <v>104</v>
      </c>
      <c r="G12" s="229" t="s">
        <v>1060</v>
      </c>
      <c r="H12" s="230">
        <v>2500</v>
      </c>
      <c r="I12" s="234"/>
      <c r="J12" s="234"/>
      <c r="K12" s="233"/>
      <c r="L12" s="235"/>
      <c r="M12" s="235"/>
    </row>
    <row r="13" spans="1:13" s="224" customFormat="1" ht="49.5" x14ac:dyDescent="0.25">
      <c r="A13" s="228"/>
      <c r="B13" s="229"/>
      <c r="C13" s="230"/>
      <c r="D13" s="234"/>
      <c r="E13" s="234"/>
      <c r="F13" s="232" t="s">
        <v>106</v>
      </c>
      <c r="G13" s="229" t="s">
        <v>1061</v>
      </c>
      <c r="H13" s="230">
        <v>2000</v>
      </c>
      <c r="I13" s="234"/>
      <c r="J13" s="234"/>
      <c r="K13" s="233"/>
      <c r="L13" s="235"/>
      <c r="M13" s="235"/>
    </row>
    <row r="14" spans="1:13" s="224" customFormat="1" ht="33" x14ac:dyDescent="0.25">
      <c r="A14" s="228"/>
      <c r="B14" s="229"/>
      <c r="C14" s="230"/>
      <c r="D14" s="234"/>
      <c r="E14" s="234"/>
      <c r="F14" s="232" t="s">
        <v>108</v>
      </c>
      <c r="G14" s="229" t="s">
        <v>1062</v>
      </c>
      <c r="H14" s="230">
        <v>3000</v>
      </c>
      <c r="I14" s="234"/>
      <c r="J14" s="234"/>
      <c r="K14" s="233"/>
      <c r="L14" s="235"/>
      <c r="M14" s="235"/>
    </row>
    <row r="15" spans="1:13" s="224" customFormat="1" ht="20.25" customHeight="1" x14ac:dyDescent="0.25">
      <c r="A15" s="228">
        <v>6</v>
      </c>
      <c r="B15" s="229" t="s">
        <v>692</v>
      </c>
      <c r="C15" s="230">
        <v>1200</v>
      </c>
      <c r="D15" s="231"/>
      <c r="E15" s="231"/>
      <c r="F15" s="232" t="s">
        <v>110</v>
      </c>
      <c r="G15" s="229" t="s">
        <v>692</v>
      </c>
      <c r="H15" s="230">
        <v>1440</v>
      </c>
      <c r="I15" s="231"/>
      <c r="J15" s="231"/>
      <c r="K15" s="233">
        <f t="shared" si="0"/>
        <v>20</v>
      </c>
      <c r="L15" s="228"/>
      <c r="M15" s="228"/>
    </row>
    <row r="16" spans="1:13" s="224" customFormat="1" ht="33" x14ac:dyDescent="0.25">
      <c r="A16" s="228">
        <v>7</v>
      </c>
      <c r="B16" s="229" t="s">
        <v>693</v>
      </c>
      <c r="C16" s="240">
        <v>1200</v>
      </c>
      <c r="D16" s="170"/>
      <c r="E16" s="241"/>
      <c r="F16" s="232" t="s">
        <v>114</v>
      </c>
      <c r="G16" s="229" t="s">
        <v>694</v>
      </c>
      <c r="H16" s="230">
        <v>1440</v>
      </c>
      <c r="I16" s="169"/>
      <c r="J16" s="236"/>
      <c r="K16" s="233">
        <f t="shared" si="0"/>
        <v>20</v>
      </c>
      <c r="L16" s="63"/>
      <c r="M16" s="237"/>
    </row>
    <row r="17" spans="1:22" s="224" customFormat="1" ht="49.5" x14ac:dyDescent="0.25">
      <c r="A17" s="228">
        <v>8</v>
      </c>
      <c r="B17" s="229" t="s">
        <v>695</v>
      </c>
      <c r="C17" s="240">
        <v>1200</v>
      </c>
      <c r="D17" s="170"/>
      <c r="E17" s="241"/>
      <c r="F17" s="232" t="s">
        <v>119</v>
      </c>
      <c r="G17" s="229" t="s">
        <v>1063</v>
      </c>
      <c r="H17" s="230">
        <v>1440</v>
      </c>
      <c r="I17" s="169"/>
      <c r="J17" s="236"/>
      <c r="K17" s="233">
        <f t="shared" si="0"/>
        <v>20</v>
      </c>
      <c r="L17" s="63"/>
      <c r="M17" s="237"/>
    </row>
    <row r="18" spans="1:22" s="224" customFormat="1" ht="49.5" x14ac:dyDescent="0.25">
      <c r="A18" s="228"/>
      <c r="B18" s="229"/>
      <c r="C18" s="240"/>
      <c r="D18" s="170"/>
      <c r="E18" s="241"/>
      <c r="F18" s="232" t="s">
        <v>122</v>
      </c>
      <c r="G18" s="229" t="s">
        <v>1064</v>
      </c>
      <c r="H18" s="230">
        <v>1500</v>
      </c>
      <c r="I18" s="169"/>
      <c r="J18" s="236"/>
      <c r="K18" s="233"/>
      <c r="L18" s="63"/>
      <c r="M18" s="237"/>
    </row>
    <row r="19" spans="1:22" s="224" customFormat="1" ht="16.5" x14ac:dyDescent="0.25">
      <c r="A19" s="228">
        <v>9</v>
      </c>
      <c r="B19" s="229" t="s">
        <v>696</v>
      </c>
      <c r="C19" s="240">
        <v>1000</v>
      </c>
      <c r="D19" s="242"/>
      <c r="E19" s="242"/>
      <c r="F19" s="232" t="s">
        <v>1065</v>
      </c>
      <c r="G19" s="229" t="s">
        <v>696</v>
      </c>
      <c r="H19" s="230">
        <v>1300</v>
      </c>
      <c r="I19" s="234"/>
      <c r="J19" s="234"/>
      <c r="K19" s="233">
        <f t="shared" si="0"/>
        <v>30</v>
      </c>
      <c r="L19" s="235"/>
      <c r="M19" s="235"/>
    </row>
    <row r="20" spans="1:22" s="224" customFormat="1" ht="16.5" x14ac:dyDescent="0.25">
      <c r="A20" s="228">
        <v>10</v>
      </c>
      <c r="B20" s="229" t="s">
        <v>697</v>
      </c>
      <c r="C20" s="240">
        <v>800</v>
      </c>
      <c r="D20" s="170"/>
      <c r="E20" s="241"/>
      <c r="F20" s="232" t="s">
        <v>1066</v>
      </c>
      <c r="G20" s="229" t="s">
        <v>697</v>
      </c>
      <c r="H20" s="230">
        <v>1204</v>
      </c>
      <c r="I20" s="169"/>
      <c r="J20" s="236"/>
      <c r="K20" s="233">
        <f t="shared" si="0"/>
        <v>50.5</v>
      </c>
      <c r="L20" s="63"/>
      <c r="M20" s="237"/>
    </row>
    <row r="21" spans="1:22" s="224" customFormat="1" ht="16.5" x14ac:dyDescent="0.25">
      <c r="A21" s="228">
        <v>11</v>
      </c>
      <c r="B21" s="229" t="s">
        <v>698</v>
      </c>
      <c r="C21" s="243">
        <v>900</v>
      </c>
      <c r="D21" s="238"/>
      <c r="E21" s="238"/>
      <c r="F21" s="232" t="s">
        <v>1067</v>
      </c>
      <c r="G21" s="229" t="s">
        <v>1068</v>
      </c>
      <c r="H21" s="248">
        <v>1050</v>
      </c>
      <c r="I21" s="231"/>
      <c r="J21" s="231"/>
      <c r="K21" s="233">
        <f t="shared" si="0"/>
        <v>16.666666666666671</v>
      </c>
      <c r="L21" s="228"/>
      <c r="M21" s="228"/>
    </row>
    <row r="22" spans="1:22" s="224" customFormat="1" ht="33" x14ac:dyDescent="0.25">
      <c r="A22" s="228"/>
      <c r="B22" s="229"/>
      <c r="C22" s="243"/>
      <c r="D22" s="238"/>
      <c r="E22" s="238"/>
      <c r="F22" s="232" t="s">
        <v>1069</v>
      </c>
      <c r="G22" s="238" t="s">
        <v>1070</v>
      </c>
      <c r="H22" s="231">
        <v>1000</v>
      </c>
      <c r="I22" s="231"/>
      <c r="J22" s="231"/>
      <c r="K22" s="233"/>
      <c r="L22" s="228"/>
      <c r="M22" s="228"/>
    </row>
    <row r="23" spans="1:22" s="224" customFormat="1" ht="49.5" x14ac:dyDescent="0.25">
      <c r="A23" s="228">
        <v>12</v>
      </c>
      <c r="B23" s="229" t="s">
        <v>699</v>
      </c>
      <c r="C23" s="243">
        <v>150</v>
      </c>
      <c r="D23" s="242"/>
      <c r="E23" s="242"/>
      <c r="F23" s="232" t="s">
        <v>1071</v>
      </c>
      <c r="G23" s="229" t="s">
        <v>700</v>
      </c>
      <c r="H23" s="248">
        <v>200</v>
      </c>
      <c r="I23" s="234"/>
      <c r="J23" s="234"/>
      <c r="K23" s="233">
        <f t="shared" si="0"/>
        <v>33.333333333333314</v>
      </c>
      <c r="L23" s="235"/>
      <c r="M23" s="235"/>
    </row>
    <row r="24" spans="1:22" s="224" customFormat="1" ht="49.5" x14ac:dyDescent="0.25">
      <c r="A24" s="228">
        <v>13</v>
      </c>
      <c r="B24" s="229" t="s">
        <v>701</v>
      </c>
      <c r="C24" s="240">
        <v>200</v>
      </c>
      <c r="D24" s="242"/>
      <c r="E24" s="242"/>
      <c r="F24" s="232" t="s">
        <v>1072</v>
      </c>
      <c r="G24" s="229" t="s">
        <v>702</v>
      </c>
      <c r="H24" s="248">
        <f>C24*1.3</f>
        <v>260</v>
      </c>
      <c r="I24" s="234"/>
      <c r="J24" s="234"/>
      <c r="K24" s="233">
        <f t="shared" si="0"/>
        <v>30</v>
      </c>
      <c r="L24" s="235"/>
      <c r="M24" s="235"/>
    </row>
    <row r="25" spans="1:22" s="224" customFormat="1" ht="33" x14ac:dyDescent="0.25">
      <c r="A25" s="228">
        <v>14</v>
      </c>
      <c r="B25" s="229" t="s">
        <v>703</v>
      </c>
      <c r="C25" s="240">
        <v>400</v>
      </c>
      <c r="D25" s="242"/>
      <c r="E25" s="242"/>
      <c r="F25" s="232" t="s">
        <v>1073</v>
      </c>
      <c r="G25" s="229" t="s">
        <v>703</v>
      </c>
      <c r="H25" s="248">
        <f>C25*1.3</f>
        <v>520</v>
      </c>
      <c r="I25" s="234"/>
      <c r="J25" s="234"/>
      <c r="K25" s="233">
        <f t="shared" si="0"/>
        <v>30</v>
      </c>
      <c r="L25" s="235"/>
      <c r="M25" s="235"/>
    </row>
    <row r="26" spans="1:22" s="224" customFormat="1" ht="33" x14ac:dyDescent="0.25">
      <c r="A26" s="228">
        <v>15</v>
      </c>
      <c r="B26" s="229" t="s">
        <v>704</v>
      </c>
      <c r="C26" s="240">
        <v>800</v>
      </c>
      <c r="D26" s="242"/>
      <c r="E26" s="242"/>
      <c r="F26" s="232" t="s">
        <v>1074</v>
      </c>
      <c r="G26" s="229" t="s">
        <v>704</v>
      </c>
      <c r="H26" s="248">
        <f>C26*1.2</f>
        <v>960</v>
      </c>
      <c r="I26" s="234"/>
      <c r="J26" s="234"/>
      <c r="K26" s="233">
        <f t="shared" si="0"/>
        <v>20</v>
      </c>
      <c r="L26" s="235"/>
      <c r="M26" s="235"/>
    </row>
    <row r="27" spans="1:22" s="224" customFormat="1" ht="66" x14ac:dyDescent="0.25">
      <c r="A27" s="228">
        <v>16</v>
      </c>
      <c r="B27" s="229" t="s">
        <v>705</v>
      </c>
      <c r="C27" s="240">
        <v>2000</v>
      </c>
      <c r="D27" s="242"/>
      <c r="E27" s="242"/>
      <c r="F27" s="232" t="s">
        <v>1075</v>
      </c>
      <c r="G27" s="229" t="s">
        <v>989</v>
      </c>
      <c r="H27" s="248">
        <f>C27*1.5</f>
        <v>3000</v>
      </c>
      <c r="I27" s="234"/>
      <c r="J27" s="234"/>
      <c r="K27" s="233">
        <f t="shared" si="0"/>
        <v>50</v>
      </c>
      <c r="L27" s="235"/>
      <c r="M27" s="235"/>
    </row>
    <row r="28" spans="1:22" s="224" customFormat="1" ht="49.5" x14ac:dyDescent="0.25">
      <c r="A28" s="228"/>
      <c r="B28" s="229"/>
      <c r="C28" s="240"/>
      <c r="D28" s="242"/>
      <c r="E28" s="242"/>
      <c r="F28" s="232" t="s">
        <v>1076</v>
      </c>
      <c r="G28" s="229" t="s">
        <v>990</v>
      </c>
      <c r="H28" s="248">
        <v>4000</v>
      </c>
      <c r="I28" s="234"/>
      <c r="J28" s="234"/>
      <c r="K28" s="233"/>
      <c r="L28" s="235"/>
      <c r="M28" s="235"/>
      <c r="T28" s="244"/>
      <c r="U28" s="244"/>
      <c r="V28" s="244"/>
    </row>
    <row r="29" spans="1:22" s="224" customFormat="1" ht="49.5" x14ac:dyDescent="0.25">
      <c r="A29" s="228">
        <v>17</v>
      </c>
      <c r="B29" s="229" t="s">
        <v>706</v>
      </c>
      <c r="C29" s="240">
        <v>1000</v>
      </c>
      <c r="D29" s="242"/>
      <c r="E29" s="242"/>
      <c r="F29" s="232" t="s">
        <v>1077</v>
      </c>
      <c r="G29" s="229" t="s">
        <v>707</v>
      </c>
      <c r="H29" s="248">
        <f>C29*1.2</f>
        <v>1200</v>
      </c>
      <c r="I29" s="234"/>
      <c r="J29" s="234"/>
      <c r="K29" s="233">
        <f t="shared" si="0"/>
        <v>20</v>
      </c>
      <c r="L29" s="235"/>
      <c r="M29" s="235"/>
    </row>
    <row r="30" spans="1:22" s="224" customFormat="1" ht="49.5" x14ac:dyDescent="0.25">
      <c r="A30" s="228">
        <v>18</v>
      </c>
      <c r="B30" s="229" t="s">
        <v>708</v>
      </c>
      <c r="C30" s="240">
        <v>200</v>
      </c>
      <c r="D30" s="242"/>
      <c r="E30" s="242"/>
      <c r="F30" s="232" t="s">
        <v>1078</v>
      </c>
      <c r="G30" s="229" t="s">
        <v>709</v>
      </c>
      <c r="H30" s="248">
        <f>C30*1.5</f>
        <v>300</v>
      </c>
      <c r="I30" s="234"/>
      <c r="J30" s="234"/>
      <c r="K30" s="233">
        <f t="shared" si="0"/>
        <v>50</v>
      </c>
      <c r="L30" s="235"/>
      <c r="M30" s="235"/>
    </row>
    <row r="31" spans="1:22" s="224" customFormat="1" ht="49.5" x14ac:dyDescent="0.25">
      <c r="A31" s="228">
        <v>19</v>
      </c>
      <c r="B31" s="229" t="s">
        <v>710</v>
      </c>
      <c r="C31" s="240">
        <v>150</v>
      </c>
      <c r="D31" s="242"/>
      <c r="E31" s="242"/>
      <c r="F31" s="232" t="s">
        <v>1079</v>
      </c>
      <c r="G31" s="229" t="s">
        <v>710</v>
      </c>
      <c r="H31" s="248">
        <f>C31*1.5</f>
        <v>225</v>
      </c>
      <c r="I31" s="234"/>
      <c r="J31" s="234"/>
      <c r="K31" s="233">
        <f t="shared" si="0"/>
        <v>50</v>
      </c>
      <c r="L31" s="235"/>
      <c r="M31" s="235"/>
    </row>
    <row r="32" spans="1:22" s="224" customFormat="1" ht="49.5" x14ac:dyDescent="0.25">
      <c r="A32" s="228">
        <v>20</v>
      </c>
      <c r="B32" s="229" t="s">
        <v>711</v>
      </c>
      <c r="C32" s="240">
        <v>300</v>
      </c>
      <c r="D32" s="238"/>
      <c r="E32" s="238"/>
      <c r="F32" s="232" t="s">
        <v>1080</v>
      </c>
      <c r="G32" s="229" t="s">
        <v>712</v>
      </c>
      <c r="H32" s="248">
        <f>C32*1.3</f>
        <v>390</v>
      </c>
      <c r="I32" s="231"/>
      <c r="J32" s="231"/>
      <c r="K32" s="233">
        <f t="shared" si="0"/>
        <v>30</v>
      </c>
      <c r="L32" s="228"/>
      <c r="M32" s="228"/>
    </row>
    <row r="33" spans="1:15" s="224" customFormat="1" ht="16.5" x14ac:dyDescent="0.25">
      <c r="A33" s="228">
        <v>21</v>
      </c>
      <c r="B33" s="229" t="s">
        <v>713</v>
      </c>
      <c r="C33" s="230">
        <v>150</v>
      </c>
      <c r="D33" s="234">
        <v>120</v>
      </c>
      <c r="E33" s="234">
        <v>90</v>
      </c>
      <c r="F33" s="232" t="s">
        <v>1081</v>
      </c>
      <c r="G33" s="229" t="s">
        <v>713</v>
      </c>
      <c r="H33" s="230">
        <f>C33*1.3</f>
        <v>195</v>
      </c>
      <c r="I33" s="230">
        <f>D33*1.2</f>
        <v>144</v>
      </c>
      <c r="J33" s="230">
        <f t="shared" ref="H33:J35" si="1">E33*1.1</f>
        <v>99.000000000000014</v>
      </c>
      <c r="K33" s="233">
        <f t="shared" si="0"/>
        <v>30</v>
      </c>
      <c r="L33" s="233">
        <f>I33/D33*100-100</f>
        <v>20</v>
      </c>
      <c r="M33" s="233">
        <f>J33/E33*100-100</f>
        <v>10.000000000000014</v>
      </c>
    </row>
    <row r="34" spans="1:15" s="224" customFormat="1" ht="33" x14ac:dyDescent="0.25">
      <c r="A34" s="228">
        <v>22</v>
      </c>
      <c r="B34" s="229" t="s">
        <v>714</v>
      </c>
      <c r="C34" s="230">
        <v>150</v>
      </c>
      <c r="D34" s="234">
        <v>120</v>
      </c>
      <c r="E34" s="234">
        <v>90</v>
      </c>
      <c r="F34" s="232" t="s">
        <v>1082</v>
      </c>
      <c r="G34" s="229" t="s">
        <v>714</v>
      </c>
      <c r="H34" s="230">
        <f>C34*1.3</f>
        <v>195</v>
      </c>
      <c r="I34" s="230">
        <f>D34*1.2</f>
        <v>144</v>
      </c>
      <c r="J34" s="230">
        <f t="shared" si="1"/>
        <v>99.000000000000014</v>
      </c>
      <c r="K34" s="233">
        <f t="shared" si="0"/>
        <v>30</v>
      </c>
      <c r="L34" s="233">
        <f t="shared" si="0"/>
        <v>20</v>
      </c>
      <c r="M34" s="233">
        <f t="shared" si="0"/>
        <v>10.000000000000014</v>
      </c>
    </row>
    <row r="35" spans="1:15" s="224" customFormat="1" ht="16.5" x14ac:dyDescent="0.25">
      <c r="A35" s="228">
        <v>23</v>
      </c>
      <c r="B35" s="229" t="s">
        <v>715</v>
      </c>
      <c r="C35" s="230">
        <v>100</v>
      </c>
      <c r="D35" s="234">
        <v>80</v>
      </c>
      <c r="E35" s="234">
        <v>60</v>
      </c>
      <c r="F35" s="232" t="s">
        <v>1083</v>
      </c>
      <c r="G35" s="229" t="s">
        <v>715</v>
      </c>
      <c r="H35" s="230">
        <f t="shared" si="1"/>
        <v>110.00000000000001</v>
      </c>
      <c r="I35" s="230">
        <f t="shared" si="1"/>
        <v>88</v>
      </c>
      <c r="J35" s="230">
        <f t="shared" si="1"/>
        <v>66</v>
      </c>
      <c r="K35" s="233">
        <f t="shared" ref="K35:M92" si="2">H35/C35*100-100</f>
        <v>10.000000000000014</v>
      </c>
      <c r="L35" s="233">
        <f t="shared" si="2"/>
        <v>10.000000000000014</v>
      </c>
      <c r="M35" s="233">
        <f t="shared" si="2"/>
        <v>10.000000000000014</v>
      </c>
    </row>
    <row r="36" spans="1:15" s="224" customFormat="1" ht="16.5" x14ac:dyDescent="0.25">
      <c r="A36" s="228"/>
      <c r="B36" s="226" t="s">
        <v>1084</v>
      </c>
      <c r="C36" s="230"/>
      <c r="D36" s="169"/>
      <c r="E36" s="169"/>
      <c r="F36" s="228"/>
      <c r="G36" s="226" t="s">
        <v>1084</v>
      </c>
      <c r="H36" s="230"/>
      <c r="I36" s="230"/>
      <c r="J36" s="230"/>
      <c r="K36" s="233"/>
      <c r="L36" s="233"/>
      <c r="M36" s="233"/>
    </row>
    <row r="37" spans="1:15" s="224" customFormat="1" ht="49.5" x14ac:dyDescent="0.25">
      <c r="A37" s="228">
        <v>1</v>
      </c>
      <c r="B37" s="229" t="s">
        <v>716</v>
      </c>
      <c r="C37" s="230">
        <v>100</v>
      </c>
      <c r="D37" s="230">
        <v>80</v>
      </c>
      <c r="E37" s="230">
        <v>60</v>
      </c>
      <c r="F37" s="232" t="s">
        <v>134</v>
      </c>
      <c r="G37" s="229" t="s">
        <v>717</v>
      </c>
      <c r="H37" s="230">
        <f t="shared" ref="H37:J41" si="3">C37*1.1</f>
        <v>110.00000000000001</v>
      </c>
      <c r="I37" s="230">
        <f t="shared" si="3"/>
        <v>88</v>
      </c>
      <c r="J37" s="230">
        <f t="shared" si="3"/>
        <v>66</v>
      </c>
      <c r="K37" s="233">
        <f t="shared" si="2"/>
        <v>10.000000000000014</v>
      </c>
      <c r="L37" s="233">
        <f t="shared" si="2"/>
        <v>10.000000000000014</v>
      </c>
      <c r="M37" s="233">
        <f t="shared" si="2"/>
        <v>10.000000000000014</v>
      </c>
    </row>
    <row r="38" spans="1:15" s="224" customFormat="1" ht="33" x14ac:dyDescent="0.25">
      <c r="A38" s="228">
        <v>2</v>
      </c>
      <c r="B38" s="229" t="s">
        <v>719</v>
      </c>
      <c r="C38" s="230">
        <v>160</v>
      </c>
      <c r="D38" s="230">
        <v>110</v>
      </c>
      <c r="E38" s="230">
        <v>65</v>
      </c>
      <c r="F38" s="232" t="s">
        <v>29</v>
      </c>
      <c r="G38" s="229" t="s">
        <v>720</v>
      </c>
      <c r="H38" s="230">
        <f>C38*1.2</f>
        <v>192</v>
      </c>
      <c r="I38" s="230">
        <f>D38*1.1</f>
        <v>121.00000000000001</v>
      </c>
      <c r="J38" s="230">
        <f t="shared" si="3"/>
        <v>71.5</v>
      </c>
      <c r="K38" s="233">
        <f t="shared" si="2"/>
        <v>20</v>
      </c>
      <c r="L38" s="233">
        <f t="shared" si="2"/>
        <v>10.000000000000014</v>
      </c>
      <c r="M38" s="233">
        <f t="shared" si="2"/>
        <v>10.000000000000014</v>
      </c>
    </row>
    <row r="39" spans="1:15" s="224" customFormat="1" ht="33" x14ac:dyDescent="0.25">
      <c r="A39" s="228">
        <v>3</v>
      </c>
      <c r="B39" s="229" t="s">
        <v>721</v>
      </c>
      <c r="C39" s="230">
        <v>90</v>
      </c>
      <c r="D39" s="230">
        <v>75</v>
      </c>
      <c r="E39" s="230">
        <v>55</v>
      </c>
      <c r="F39" s="232" t="s">
        <v>138</v>
      </c>
      <c r="G39" s="229" t="s">
        <v>721</v>
      </c>
      <c r="H39" s="230">
        <f>C39*1.2</f>
        <v>108</v>
      </c>
      <c r="I39" s="230">
        <f>D39*1.15</f>
        <v>86.25</v>
      </c>
      <c r="J39" s="230">
        <f t="shared" si="3"/>
        <v>60.500000000000007</v>
      </c>
      <c r="K39" s="233">
        <f t="shared" si="2"/>
        <v>20</v>
      </c>
      <c r="L39" s="233">
        <f t="shared" si="2"/>
        <v>14.999999999999986</v>
      </c>
      <c r="M39" s="233">
        <f t="shared" si="2"/>
        <v>10.000000000000014</v>
      </c>
    </row>
    <row r="40" spans="1:15" s="224" customFormat="1" ht="33" x14ac:dyDescent="0.25">
      <c r="A40" s="228">
        <v>4</v>
      </c>
      <c r="B40" s="229" t="s">
        <v>722</v>
      </c>
      <c r="C40" s="230">
        <v>100</v>
      </c>
      <c r="D40" s="230">
        <v>80</v>
      </c>
      <c r="E40" s="230">
        <v>60</v>
      </c>
      <c r="F40" s="232" t="s">
        <v>139</v>
      </c>
      <c r="G40" s="229" t="s">
        <v>723</v>
      </c>
      <c r="H40" s="230">
        <f t="shared" si="3"/>
        <v>110.00000000000001</v>
      </c>
      <c r="I40" s="230">
        <f t="shared" si="3"/>
        <v>88</v>
      </c>
      <c r="J40" s="230">
        <f t="shared" si="3"/>
        <v>66</v>
      </c>
      <c r="K40" s="233">
        <f t="shared" si="2"/>
        <v>10.000000000000014</v>
      </c>
      <c r="L40" s="233">
        <f t="shared" si="2"/>
        <v>10.000000000000014</v>
      </c>
      <c r="M40" s="233">
        <f t="shared" si="2"/>
        <v>10.000000000000014</v>
      </c>
    </row>
    <row r="41" spans="1:15" s="224" customFormat="1" ht="33" x14ac:dyDescent="0.25">
      <c r="A41" s="228">
        <v>5</v>
      </c>
      <c r="B41" s="229" t="s">
        <v>724</v>
      </c>
      <c r="C41" s="230">
        <v>90</v>
      </c>
      <c r="D41" s="230">
        <v>75</v>
      </c>
      <c r="E41" s="230">
        <v>55</v>
      </c>
      <c r="F41" s="232" t="s">
        <v>140</v>
      </c>
      <c r="G41" s="229" t="s">
        <v>725</v>
      </c>
      <c r="H41" s="230">
        <f t="shared" si="3"/>
        <v>99.000000000000014</v>
      </c>
      <c r="I41" s="230">
        <f t="shared" si="3"/>
        <v>82.5</v>
      </c>
      <c r="J41" s="230">
        <f t="shared" si="3"/>
        <v>60.500000000000007</v>
      </c>
      <c r="K41" s="233">
        <f t="shared" si="2"/>
        <v>10.000000000000014</v>
      </c>
      <c r="L41" s="233">
        <f t="shared" si="2"/>
        <v>10.000000000000014</v>
      </c>
      <c r="M41" s="233">
        <f t="shared" si="2"/>
        <v>10.000000000000014</v>
      </c>
    </row>
    <row r="42" spans="1:15" s="224" customFormat="1" ht="33" x14ac:dyDescent="0.25">
      <c r="A42" s="228"/>
      <c r="B42" s="229"/>
      <c r="C42" s="230"/>
      <c r="D42" s="230"/>
      <c r="E42" s="230"/>
      <c r="F42" s="232" t="s">
        <v>141</v>
      </c>
      <c r="G42" s="229" t="s">
        <v>1085</v>
      </c>
      <c r="H42" s="230">
        <v>100</v>
      </c>
      <c r="I42" s="230">
        <v>80</v>
      </c>
      <c r="J42" s="230">
        <v>60</v>
      </c>
      <c r="K42" s="233"/>
      <c r="L42" s="233"/>
      <c r="M42" s="233"/>
    </row>
    <row r="43" spans="1:15" s="224" customFormat="1" ht="16.5" x14ac:dyDescent="0.25">
      <c r="A43" s="228">
        <v>6</v>
      </c>
      <c r="B43" s="229" t="s">
        <v>715</v>
      </c>
      <c r="C43" s="230">
        <v>80</v>
      </c>
      <c r="D43" s="230">
        <v>70</v>
      </c>
      <c r="E43" s="230">
        <v>60</v>
      </c>
      <c r="F43" s="232" t="s">
        <v>143</v>
      </c>
      <c r="G43" s="229" t="s">
        <v>715</v>
      </c>
      <c r="H43" s="230">
        <f>C43*1.1</f>
        <v>88</v>
      </c>
      <c r="I43" s="230">
        <f>D43*1.1</f>
        <v>77</v>
      </c>
      <c r="J43" s="230">
        <f>E43*1.1</f>
        <v>66</v>
      </c>
      <c r="K43" s="233">
        <f t="shared" si="2"/>
        <v>10.000000000000014</v>
      </c>
      <c r="L43" s="233">
        <f t="shared" si="2"/>
        <v>10.000000000000014</v>
      </c>
      <c r="M43" s="233">
        <f t="shared" si="2"/>
        <v>10.000000000000014</v>
      </c>
    </row>
    <row r="44" spans="1:15" s="224" customFormat="1" ht="16.5" x14ac:dyDescent="0.25">
      <c r="A44" s="228"/>
      <c r="B44" s="226" t="s">
        <v>1086</v>
      </c>
      <c r="C44" s="230"/>
      <c r="D44" s="169"/>
      <c r="E44" s="236"/>
      <c r="F44" s="228"/>
      <c r="G44" s="226" t="s">
        <v>1086</v>
      </c>
      <c r="H44" s="230"/>
      <c r="I44" s="230"/>
      <c r="J44" s="230"/>
      <c r="K44" s="233"/>
      <c r="L44" s="233"/>
      <c r="M44" s="233"/>
    </row>
    <row r="45" spans="1:15" s="224" customFormat="1" ht="33" x14ac:dyDescent="0.25">
      <c r="A45" s="228">
        <v>1</v>
      </c>
      <c r="B45" s="229" t="s">
        <v>726</v>
      </c>
      <c r="C45" s="230">
        <v>100</v>
      </c>
      <c r="D45" s="169">
        <v>85</v>
      </c>
      <c r="E45" s="236">
        <v>75</v>
      </c>
      <c r="F45" s="232" t="s">
        <v>41</v>
      </c>
      <c r="G45" s="229" t="s">
        <v>726</v>
      </c>
      <c r="H45" s="230">
        <f>C45*1.2</f>
        <v>120</v>
      </c>
      <c r="I45" s="230">
        <f>D45*1.15</f>
        <v>97.749999999999986</v>
      </c>
      <c r="J45" s="230">
        <f t="shared" ref="H45:J49" si="4">E45*1.1</f>
        <v>82.5</v>
      </c>
      <c r="K45" s="233">
        <f t="shared" si="2"/>
        <v>20</v>
      </c>
      <c r="L45" s="233">
        <f t="shared" si="2"/>
        <v>14.999999999999986</v>
      </c>
      <c r="M45" s="233">
        <f t="shared" si="2"/>
        <v>10.000000000000014</v>
      </c>
      <c r="N45" s="245"/>
    </row>
    <row r="46" spans="1:15" s="224" customFormat="1" ht="33" x14ac:dyDescent="0.25">
      <c r="A46" s="228">
        <v>2</v>
      </c>
      <c r="B46" s="229" t="s">
        <v>727</v>
      </c>
      <c r="C46" s="230">
        <v>120</v>
      </c>
      <c r="D46" s="169">
        <v>100</v>
      </c>
      <c r="E46" s="169">
        <v>80</v>
      </c>
      <c r="F46" s="232" t="s">
        <v>42</v>
      </c>
      <c r="G46" s="229" t="s">
        <v>1087</v>
      </c>
      <c r="H46" s="230">
        <f t="shared" si="4"/>
        <v>132</v>
      </c>
      <c r="I46" s="230">
        <f t="shared" si="4"/>
        <v>110.00000000000001</v>
      </c>
      <c r="J46" s="230">
        <f t="shared" si="4"/>
        <v>88</v>
      </c>
      <c r="K46" s="233">
        <f t="shared" si="2"/>
        <v>10.000000000000014</v>
      </c>
      <c r="L46" s="233">
        <f t="shared" si="2"/>
        <v>10.000000000000014</v>
      </c>
      <c r="M46" s="233">
        <f t="shared" si="2"/>
        <v>10.000000000000014</v>
      </c>
      <c r="N46" s="245"/>
      <c r="O46" s="246"/>
    </row>
    <row r="47" spans="1:15" s="224" customFormat="1" ht="33" x14ac:dyDescent="0.25">
      <c r="A47" s="228">
        <v>3</v>
      </c>
      <c r="B47" s="229" t="s">
        <v>728</v>
      </c>
      <c r="C47" s="230">
        <v>180</v>
      </c>
      <c r="D47" s="169">
        <v>130</v>
      </c>
      <c r="E47" s="169">
        <v>90</v>
      </c>
      <c r="F47" s="232" t="s">
        <v>43</v>
      </c>
      <c r="G47" s="229" t="s">
        <v>1088</v>
      </c>
      <c r="H47" s="230">
        <f t="shared" si="4"/>
        <v>198.00000000000003</v>
      </c>
      <c r="I47" s="230">
        <f t="shared" si="4"/>
        <v>143</v>
      </c>
      <c r="J47" s="230">
        <f t="shared" si="4"/>
        <v>99.000000000000014</v>
      </c>
      <c r="K47" s="233">
        <f t="shared" si="2"/>
        <v>10.000000000000014</v>
      </c>
      <c r="L47" s="233">
        <f t="shared" si="2"/>
        <v>10.000000000000014</v>
      </c>
      <c r="M47" s="233">
        <f t="shared" si="2"/>
        <v>10.000000000000014</v>
      </c>
      <c r="N47" s="245"/>
      <c r="O47" s="246"/>
    </row>
    <row r="48" spans="1:15" s="224" customFormat="1" ht="33" x14ac:dyDescent="0.25">
      <c r="A48" s="228">
        <v>4</v>
      </c>
      <c r="B48" s="229" t="s">
        <v>729</v>
      </c>
      <c r="C48" s="230">
        <v>120</v>
      </c>
      <c r="D48" s="169">
        <v>100</v>
      </c>
      <c r="E48" s="169">
        <v>80</v>
      </c>
      <c r="F48" s="232" t="s">
        <v>45</v>
      </c>
      <c r="G48" s="229" t="s">
        <v>730</v>
      </c>
      <c r="H48" s="230">
        <f t="shared" si="4"/>
        <v>132</v>
      </c>
      <c r="I48" s="230">
        <f t="shared" si="4"/>
        <v>110.00000000000001</v>
      </c>
      <c r="J48" s="230">
        <f t="shared" si="4"/>
        <v>88</v>
      </c>
      <c r="K48" s="233">
        <f t="shared" si="2"/>
        <v>10.000000000000014</v>
      </c>
      <c r="L48" s="233">
        <f t="shared" si="2"/>
        <v>10.000000000000014</v>
      </c>
      <c r="M48" s="233">
        <f t="shared" si="2"/>
        <v>10.000000000000014</v>
      </c>
      <c r="N48" s="245"/>
      <c r="O48" s="246"/>
    </row>
    <row r="49" spans="1:22" s="224" customFormat="1" ht="16.5" x14ac:dyDescent="0.25">
      <c r="A49" s="228">
        <v>5</v>
      </c>
      <c r="B49" s="229" t="s">
        <v>731</v>
      </c>
      <c r="C49" s="230">
        <v>80</v>
      </c>
      <c r="D49" s="169">
        <v>70</v>
      </c>
      <c r="E49" s="169">
        <v>60</v>
      </c>
      <c r="F49" s="232" t="s">
        <v>47</v>
      </c>
      <c r="G49" s="229" t="s">
        <v>731</v>
      </c>
      <c r="H49" s="230">
        <f t="shared" si="4"/>
        <v>88</v>
      </c>
      <c r="I49" s="230">
        <f t="shared" si="4"/>
        <v>77</v>
      </c>
      <c r="J49" s="230">
        <f t="shared" si="4"/>
        <v>66</v>
      </c>
      <c r="K49" s="233">
        <f t="shared" si="2"/>
        <v>10.000000000000014</v>
      </c>
      <c r="L49" s="233">
        <f t="shared" si="2"/>
        <v>10.000000000000014</v>
      </c>
      <c r="M49" s="233">
        <f t="shared" si="2"/>
        <v>10.000000000000014</v>
      </c>
      <c r="N49" s="245"/>
    </row>
    <row r="50" spans="1:22" s="224" customFormat="1" ht="16.5" x14ac:dyDescent="0.25">
      <c r="A50" s="228"/>
      <c r="B50" s="226" t="s">
        <v>1089</v>
      </c>
      <c r="C50" s="230"/>
      <c r="D50" s="169"/>
      <c r="E50" s="236"/>
      <c r="F50" s="228"/>
      <c r="G50" s="226" t="s">
        <v>1089</v>
      </c>
      <c r="H50" s="230"/>
      <c r="I50" s="230"/>
      <c r="J50" s="230"/>
      <c r="K50" s="233"/>
      <c r="L50" s="233"/>
      <c r="M50" s="233"/>
    </row>
    <row r="51" spans="1:22" s="224" customFormat="1" ht="49.5" x14ac:dyDescent="0.25">
      <c r="A51" s="228">
        <v>1</v>
      </c>
      <c r="B51" s="229" t="s">
        <v>732</v>
      </c>
      <c r="C51" s="230">
        <v>120</v>
      </c>
      <c r="D51" s="169">
        <v>100</v>
      </c>
      <c r="E51" s="169">
        <v>60</v>
      </c>
      <c r="F51" s="228" t="s">
        <v>17</v>
      </c>
      <c r="G51" s="229" t="s">
        <v>733</v>
      </c>
      <c r="H51" s="230">
        <f>C51*1.1</f>
        <v>132</v>
      </c>
      <c r="I51" s="230">
        <f>D51*1.1</f>
        <v>110.00000000000001</v>
      </c>
      <c r="J51" s="230">
        <f>E51*1.1</f>
        <v>66</v>
      </c>
      <c r="K51" s="233">
        <f t="shared" si="2"/>
        <v>10.000000000000014</v>
      </c>
      <c r="L51" s="233">
        <f t="shared" si="2"/>
        <v>10.000000000000014</v>
      </c>
      <c r="M51" s="233">
        <f t="shared" si="2"/>
        <v>10.000000000000014</v>
      </c>
    </row>
    <row r="52" spans="1:22" s="224" customFormat="1" ht="49.5" x14ac:dyDescent="0.25">
      <c r="A52" s="228">
        <v>2</v>
      </c>
      <c r="B52" s="229" t="s">
        <v>734</v>
      </c>
      <c r="C52" s="230">
        <v>180</v>
      </c>
      <c r="D52" s="169">
        <v>130</v>
      </c>
      <c r="E52" s="169">
        <v>75</v>
      </c>
      <c r="F52" s="228" t="s">
        <v>20</v>
      </c>
      <c r="G52" s="229" t="s">
        <v>734</v>
      </c>
      <c r="H52" s="230">
        <f>C52*1.3</f>
        <v>234</v>
      </c>
      <c r="I52" s="230">
        <f>D52*1.2</f>
        <v>156</v>
      </c>
      <c r="J52" s="230">
        <f>E52*1.2</f>
        <v>90</v>
      </c>
      <c r="K52" s="233">
        <f t="shared" si="2"/>
        <v>30</v>
      </c>
      <c r="L52" s="233">
        <f t="shared" si="2"/>
        <v>20</v>
      </c>
      <c r="M52" s="233">
        <f t="shared" si="2"/>
        <v>20</v>
      </c>
    </row>
    <row r="53" spans="1:22" s="224" customFormat="1" ht="33" x14ac:dyDescent="0.25">
      <c r="A53" s="228">
        <v>3</v>
      </c>
      <c r="B53" s="229" t="s">
        <v>735</v>
      </c>
      <c r="C53" s="230">
        <v>120</v>
      </c>
      <c r="D53" s="169">
        <v>100</v>
      </c>
      <c r="E53" s="169">
        <v>60</v>
      </c>
      <c r="F53" s="228" t="s">
        <v>57</v>
      </c>
      <c r="G53" s="229" t="s">
        <v>735</v>
      </c>
      <c r="H53" s="230">
        <f>C53*1.2</f>
        <v>144</v>
      </c>
      <c r="I53" s="230">
        <f>D53*1.2</f>
        <v>120</v>
      </c>
      <c r="J53" s="230">
        <f>E53*1.2</f>
        <v>72</v>
      </c>
      <c r="K53" s="233">
        <f t="shared" si="2"/>
        <v>20</v>
      </c>
      <c r="L53" s="233">
        <f t="shared" si="2"/>
        <v>20</v>
      </c>
      <c r="M53" s="233">
        <f t="shared" si="2"/>
        <v>20</v>
      </c>
    </row>
    <row r="54" spans="1:22" s="224" customFormat="1" ht="16.5" x14ac:dyDescent="0.25">
      <c r="A54" s="228"/>
      <c r="B54" s="229"/>
      <c r="C54" s="230"/>
      <c r="D54" s="169"/>
      <c r="E54" s="169"/>
      <c r="F54" s="228" t="s">
        <v>59</v>
      </c>
      <c r="G54" s="229" t="s">
        <v>736</v>
      </c>
      <c r="H54" s="230">
        <v>100</v>
      </c>
      <c r="I54" s="230">
        <v>80</v>
      </c>
      <c r="J54" s="230">
        <v>65</v>
      </c>
      <c r="K54" s="233"/>
      <c r="L54" s="233"/>
      <c r="M54" s="233"/>
    </row>
    <row r="55" spans="1:22" s="224" customFormat="1" ht="16.5" x14ac:dyDescent="0.25">
      <c r="A55" s="228"/>
      <c r="B55" s="229"/>
      <c r="C55" s="230"/>
      <c r="D55" s="169"/>
      <c r="E55" s="169"/>
      <c r="F55" s="228" t="s">
        <v>60</v>
      </c>
      <c r="G55" s="229" t="s">
        <v>737</v>
      </c>
      <c r="H55" s="230">
        <v>90</v>
      </c>
      <c r="I55" s="230">
        <v>77</v>
      </c>
      <c r="J55" s="230">
        <v>61</v>
      </c>
      <c r="K55" s="233"/>
      <c r="L55" s="233"/>
      <c r="M55" s="233"/>
    </row>
    <row r="56" spans="1:22" s="224" customFormat="1" ht="33" x14ac:dyDescent="0.25">
      <c r="A56" s="228"/>
      <c r="B56" s="229"/>
      <c r="C56" s="230"/>
      <c r="D56" s="169"/>
      <c r="E56" s="169"/>
      <c r="F56" s="228" t="s">
        <v>61</v>
      </c>
      <c r="G56" s="229" t="s">
        <v>738</v>
      </c>
      <c r="H56" s="231">
        <v>90</v>
      </c>
      <c r="I56" s="230">
        <v>77</v>
      </c>
      <c r="J56" s="230">
        <v>61</v>
      </c>
      <c r="K56" s="233"/>
      <c r="L56" s="233"/>
      <c r="M56" s="233"/>
      <c r="T56" s="244"/>
      <c r="U56" s="244"/>
      <c r="V56" s="244"/>
    </row>
    <row r="57" spans="1:22" s="224" customFormat="1" ht="16.5" x14ac:dyDescent="0.25">
      <c r="A57" s="228">
        <v>4</v>
      </c>
      <c r="B57" s="229" t="s">
        <v>739</v>
      </c>
      <c r="C57" s="230">
        <v>80</v>
      </c>
      <c r="D57" s="169">
        <v>70</v>
      </c>
      <c r="E57" s="169">
        <v>55</v>
      </c>
      <c r="F57" s="228" t="s">
        <v>63</v>
      </c>
      <c r="G57" s="229" t="s">
        <v>739</v>
      </c>
      <c r="H57" s="230">
        <f>C57*1.1</f>
        <v>88</v>
      </c>
      <c r="I57" s="230">
        <f>D57*1.1</f>
        <v>77</v>
      </c>
      <c r="J57" s="230">
        <f>E57*1.1</f>
        <v>60.500000000000007</v>
      </c>
      <c r="K57" s="233">
        <f t="shared" si="2"/>
        <v>10.000000000000014</v>
      </c>
      <c r="L57" s="233">
        <f t="shared" si="2"/>
        <v>10.000000000000014</v>
      </c>
      <c r="M57" s="233">
        <f t="shared" si="2"/>
        <v>10.000000000000014</v>
      </c>
    </row>
    <row r="58" spans="1:22" s="224" customFormat="1" ht="16.5" x14ac:dyDescent="0.25">
      <c r="A58" s="228"/>
      <c r="B58" s="226" t="s">
        <v>1090</v>
      </c>
      <c r="C58" s="230"/>
      <c r="D58" s="169"/>
      <c r="E58" s="236"/>
      <c r="F58" s="228"/>
      <c r="G58" s="226" t="s">
        <v>1090</v>
      </c>
      <c r="H58" s="230"/>
      <c r="I58" s="230"/>
      <c r="J58" s="230"/>
      <c r="K58" s="233"/>
      <c r="L58" s="233"/>
      <c r="M58" s="233"/>
    </row>
    <row r="59" spans="1:22" s="224" customFormat="1" ht="16.5" x14ac:dyDescent="0.25">
      <c r="A59" s="228">
        <v>1</v>
      </c>
      <c r="B59" s="229" t="s">
        <v>740</v>
      </c>
      <c r="C59" s="230">
        <v>95</v>
      </c>
      <c r="D59" s="169">
        <v>85</v>
      </c>
      <c r="E59" s="169">
        <v>65</v>
      </c>
      <c r="F59" s="228" t="s">
        <v>66</v>
      </c>
      <c r="G59" s="229" t="s">
        <v>740</v>
      </c>
      <c r="H59" s="230">
        <f t="shared" ref="H59:J66" si="5">C59*1.1</f>
        <v>104.50000000000001</v>
      </c>
      <c r="I59" s="230">
        <f t="shared" si="5"/>
        <v>93.500000000000014</v>
      </c>
      <c r="J59" s="230">
        <f t="shared" si="5"/>
        <v>71.5</v>
      </c>
      <c r="K59" s="233">
        <f t="shared" si="2"/>
        <v>10.000000000000014</v>
      </c>
      <c r="L59" s="233">
        <f t="shared" si="2"/>
        <v>10.000000000000014</v>
      </c>
      <c r="M59" s="233">
        <f t="shared" si="2"/>
        <v>10.000000000000014</v>
      </c>
      <c r="N59" s="247"/>
      <c r="O59" s="247"/>
    </row>
    <row r="60" spans="1:22" s="224" customFormat="1" ht="16.5" x14ac:dyDescent="0.25">
      <c r="A60" s="228"/>
      <c r="B60" s="229"/>
      <c r="C60" s="230"/>
      <c r="D60" s="169"/>
      <c r="E60" s="169"/>
      <c r="F60" s="228" t="s">
        <v>67</v>
      </c>
      <c r="G60" s="229" t="s">
        <v>1091</v>
      </c>
      <c r="H60" s="230">
        <v>110</v>
      </c>
      <c r="I60" s="230">
        <v>100</v>
      </c>
      <c r="J60" s="230">
        <v>90</v>
      </c>
      <c r="K60" s="233"/>
      <c r="L60" s="233"/>
      <c r="M60" s="233"/>
      <c r="N60" s="247"/>
      <c r="O60" s="247"/>
    </row>
    <row r="61" spans="1:22" s="224" customFormat="1" ht="33" x14ac:dyDescent="0.25">
      <c r="A61" s="228">
        <v>2</v>
      </c>
      <c r="B61" s="229" t="s">
        <v>741</v>
      </c>
      <c r="C61" s="230">
        <v>80</v>
      </c>
      <c r="D61" s="169">
        <v>60</v>
      </c>
      <c r="E61" s="236">
        <v>55</v>
      </c>
      <c r="F61" s="228" t="s">
        <v>68</v>
      </c>
      <c r="G61" s="229" t="s">
        <v>742</v>
      </c>
      <c r="H61" s="230">
        <f t="shared" si="5"/>
        <v>88</v>
      </c>
      <c r="I61" s="230">
        <f t="shared" si="5"/>
        <v>66</v>
      </c>
      <c r="J61" s="230">
        <f t="shared" si="5"/>
        <v>60.500000000000007</v>
      </c>
      <c r="K61" s="233">
        <f t="shared" si="2"/>
        <v>10.000000000000014</v>
      </c>
      <c r="L61" s="233">
        <f t="shared" si="2"/>
        <v>10.000000000000014</v>
      </c>
      <c r="M61" s="233">
        <f t="shared" si="2"/>
        <v>10.000000000000014</v>
      </c>
      <c r="N61" s="247"/>
      <c r="O61" s="247"/>
    </row>
    <row r="62" spans="1:22" s="224" customFormat="1" ht="33" x14ac:dyDescent="0.25">
      <c r="A62" s="228">
        <v>3</v>
      </c>
      <c r="B62" s="229" t="s">
        <v>743</v>
      </c>
      <c r="C62" s="230">
        <v>80</v>
      </c>
      <c r="D62" s="169">
        <v>60</v>
      </c>
      <c r="E62" s="236">
        <v>50</v>
      </c>
      <c r="F62" s="228" t="s">
        <v>69</v>
      </c>
      <c r="G62" s="238" t="s">
        <v>744</v>
      </c>
      <c r="H62" s="230">
        <f t="shared" si="5"/>
        <v>88</v>
      </c>
      <c r="I62" s="230">
        <f t="shared" si="5"/>
        <v>66</v>
      </c>
      <c r="J62" s="230">
        <f t="shared" si="5"/>
        <v>55.000000000000007</v>
      </c>
      <c r="K62" s="233">
        <f t="shared" si="2"/>
        <v>10.000000000000014</v>
      </c>
      <c r="L62" s="233">
        <f t="shared" si="2"/>
        <v>10.000000000000014</v>
      </c>
      <c r="M62" s="233">
        <f t="shared" si="2"/>
        <v>10.000000000000014</v>
      </c>
      <c r="N62" s="247"/>
      <c r="O62" s="247"/>
    </row>
    <row r="63" spans="1:22" s="224" customFormat="1" ht="16.5" x14ac:dyDescent="0.25">
      <c r="A63" s="228"/>
      <c r="B63" s="226" t="s">
        <v>1092</v>
      </c>
      <c r="C63" s="230"/>
      <c r="D63" s="169"/>
      <c r="E63" s="236"/>
      <c r="F63" s="228"/>
      <c r="G63" s="226" t="s">
        <v>1092</v>
      </c>
      <c r="H63" s="230"/>
      <c r="I63" s="230"/>
      <c r="J63" s="230"/>
      <c r="K63" s="233"/>
      <c r="L63" s="233"/>
      <c r="M63" s="233"/>
    </row>
    <row r="64" spans="1:22" s="224" customFormat="1" ht="16.5" x14ac:dyDescent="0.25">
      <c r="A64" s="228" t="s">
        <v>77</v>
      </c>
      <c r="B64" s="229" t="s">
        <v>745</v>
      </c>
      <c r="C64" s="230">
        <v>95</v>
      </c>
      <c r="D64" s="169">
        <v>85</v>
      </c>
      <c r="E64" s="169">
        <v>65</v>
      </c>
      <c r="F64" s="228" t="s">
        <v>77</v>
      </c>
      <c r="G64" s="229" t="s">
        <v>745</v>
      </c>
      <c r="H64" s="230">
        <f t="shared" si="5"/>
        <v>104.50000000000001</v>
      </c>
      <c r="I64" s="230">
        <f t="shared" si="5"/>
        <v>93.500000000000014</v>
      </c>
      <c r="J64" s="230">
        <f t="shared" si="5"/>
        <v>71.5</v>
      </c>
      <c r="K64" s="233">
        <f t="shared" si="2"/>
        <v>10.000000000000014</v>
      </c>
      <c r="L64" s="233">
        <f t="shared" si="2"/>
        <v>10.000000000000014</v>
      </c>
      <c r="M64" s="233">
        <f t="shared" si="2"/>
        <v>10.000000000000014</v>
      </c>
    </row>
    <row r="65" spans="1:13" s="224" customFormat="1" ht="33" x14ac:dyDescent="0.25">
      <c r="A65" s="228" t="s">
        <v>78</v>
      </c>
      <c r="B65" s="229" t="s">
        <v>746</v>
      </c>
      <c r="C65" s="230">
        <v>80</v>
      </c>
      <c r="D65" s="169">
        <v>70</v>
      </c>
      <c r="E65" s="236">
        <v>60</v>
      </c>
      <c r="F65" s="228" t="s">
        <v>78</v>
      </c>
      <c r="G65" s="229" t="s">
        <v>747</v>
      </c>
      <c r="H65" s="230">
        <f t="shared" si="5"/>
        <v>88</v>
      </c>
      <c r="I65" s="230">
        <f t="shared" si="5"/>
        <v>77</v>
      </c>
      <c r="J65" s="230">
        <f t="shared" si="5"/>
        <v>66</v>
      </c>
      <c r="K65" s="233">
        <f t="shared" si="2"/>
        <v>10.000000000000014</v>
      </c>
      <c r="L65" s="233">
        <f t="shared" si="2"/>
        <v>10.000000000000014</v>
      </c>
      <c r="M65" s="233">
        <f t="shared" si="2"/>
        <v>10.000000000000014</v>
      </c>
    </row>
    <row r="66" spans="1:13" s="224" customFormat="1" ht="16.5" x14ac:dyDescent="0.25">
      <c r="A66" s="228" t="s">
        <v>79</v>
      </c>
      <c r="B66" s="229" t="s">
        <v>748</v>
      </c>
      <c r="C66" s="230">
        <v>80</v>
      </c>
      <c r="D66" s="169">
        <v>70</v>
      </c>
      <c r="E66" s="236">
        <v>60</v>
      </c>
      <c r="F66" s="228" t="s">
        <v>79</v>
      </c>
      <c r="G66" s="229" t="s">
        <v>748</v>
      </c>
      <c r="H66" s="230">
        <f t="shared" si="5"/>
        <v>88</v>
      </c>
      <c r="I66" s="230">
        <f t="shared" si="5"/>
        <v>77</v>
      </c>
      <c r="J66" s="230">
        <f t="shared" si="5"/>
        <v>66</v>
      </c>
      <c r="K66" s="233">
        <f t="shared" si="2"/>
        <v>10.000000000000014</v>
      </c>
      <c r="L66" s="233">
        <f t="shared" si="2"/>
        <v>10.000000000000014</v>
      </c>
      <c r="M66" s="233">
        <f t="shared" si="2"/>
        <v>10.000000000000014</v>
      </c>
    </row>
    <row r="67" spans="1:13" s="224" customFormat="1" ht="16.5" x14ac:dyDescent="0.25">
      <c r="A67" s="228"/>
      <c r="B67" s="229"/>
      <c r="C67" s="230"/>
      <c r="D67" s="169"/>
      <c r="E67" s="236"/>
      <c r="F67" s="228" t="s">
        <v>181</v>
      </c>
      <c r="G67" s="229" t="s">
        <v>749</v>
      </c>
      <c r="H67" s="230">
        <v>80</v>
      </c>
      <c r="I67" s="230">
        <v>60</v>
      </c>
      <c r="J67" s="230">
        <v>50</v>
      </c>
      <c r="K67" s="233"/>
      <c r="L67" s="233"/>
      <c r="M67" s="233"/>
    </row>
    <row r="68" spans="1:13" s="224" customFormat="1" ht="16.5" x14ac:dyDescent="0.25">
      <c r="A68" s="228"/>
      <c r="B68" s="226" t="s">
        <v>1093</v>
      </c>
      <c r="C68" s="230"/>
      <c r="D68" s="234"/>
      <c r="E68" s="234"/>
      <c r="F68" s="228"/>
      <c r="G68" s="226" t="s">
        <v>1093</v>
      </c>
      <c r="H68" s="230"/>
      <c r="I68" s="234"/>
      <c r="J68" s="234"/>
      <c r="K68" s="233"/>
      <c r="L68" s="233"/>
      <c r="M68" s="233"/>
    </row>
    <row r="69" spans="1:13" s="224" customFormat="1" ht="16.5" x14ac:dyDescent="0.25">
      <c r="A69" s="228" t="s">
        <v>199</v>
      </c>
      <c r="B69" s="229" t="s">
        <v>750</v>
      </c>
      <c r="C69" s="230">
        <v>95</v>
      </c>
      <c r="D69" s="169">
        <v>85</v>
      </c>
      <c r="E69" s="169">
        <v>65</v>
      </c>
      <c r="F69" s="228" t="s">
        <v>199</v>
      </c>
      <c r="G69" s="229" t="s">
        <v>1094</v>
      </c>
      <c r="H69" s="230">
        <f>C69*1.1</f>
        <v>104.50000000000001</v>
      </c>
      <c r="I69" s="230">
        <f>D69*1.1</f>
        <v>93.500000000000014</v>
      </c>
      <c r="J69" s="230">
        <f>E69*1.1</f>
        <v>71.5</v>
      </c>
      <c r="K69" s="233">
        <f t="shared" si="2"/>
        <v>10.000000000000014</v>
      </c>
      <c r="L69" s="233">
        <f t="shared" si="2"/>
        <v>10.000000000000014</v>
      </c>
      <c r="M69" s="233">
        <f t="shared" si="2"/>
        <v>10.000000000000014</v>
      </c>
    </row>
    <row r="70" spans="1:13" s="224" customFormat="1" ht="33" x14ac:dyDescent="0.25">
      <c r="A70" s="228" t="s">
        <v>200</v>
      </c>
      <c r="B70" s="229" t="s">
        <v>751</v>
      </c>
      <c r="C70" s="230">
        <v>80</v>
      </c>
      <c r="D70" s="169">
        <v>65</v>
      </c>
      <c r="E70" s="236">
        <v>55</v>
      </c>
      <c r="F70" s="228" t="s">
        <v>200</v>
      </c>
      <c r="G70" s="229" t="s">
        <v>1095</v>
      </c>
      <c r="H70" s="230">
        <f t="shared" ref="H70:J92" si="6">C70*1.1</f>
        <v>88</v>
      </c>
      <c r="I70" s="230">
        <f t="shared" si="6"/>
        <v>71.5</v>
      </c>
      <c r="J70" s="230">
        <f t="shared" si="6"/>
        <v>60.500000000000007</v>
      </c>
      <c r="K70" s="233">
        <f t="shared" si="2"/>
        <v>10.000000000000014</v>
      </c>
      <c r="L70" s="233">
        <f t="shared" si="2"/>
        <v>10.000000000000014</v>
      </c>
      <c r="M70" s="233">
        <f t="shared" si="2"/>
        <v>10.000000000000014</v>
      </c>
    </row>
    <row r="71" spans="1:13" s="224" customFormat="1" ht="16.5" x14ac:dyDescent="0.25">
      <c r="A71" s="228" t="s">
        <v>201</v>
      </c>
      <c r="B71" s="229" t="s">
        <v>752</v>
      </c>
      <c r="C71" s="230">
        <v>80</v>
      </c>
      <c r="D71" s="169">
        <v>70</v>
      </c>
      <c r="E71" s="236">
        <v>60</v>
      </c>
      <c r="F71" s="228" t="s">
        <v>201</v>
      </c>
      <c r="G71" s="229" t="s">
        <v>752</v>
      </c>
      <c r="H71" s="230">
        <f t="shared" si="6"/>
        <v>88</v>
      </c>
      <c r="I71" s="230">
        <f t="shared" si="6"/>
        <v>77</v>
      </c>
      <c r="J71" s="230">
        <f t="shared" si="6"/>
        <v>66</v>
      </c>
      <c r="K71" s="233">
        <f t="shared" si="2"/>
        <v>10.000000000000014</v>
      </c>
      <c r="L71" s="233">
        <f t="shared" si="2"/>
        <v>10.000000000000014</v>
      </c>
      <c r="M71" s="233">
        <f t="shared" si="2"/>
        <v>10.000000000000014</v>
      </c>
    </row>
    <row r="72" spans="1:13" s="224" customFormat="1" ht="16.5" x14ac:dyDescent="0.25">
      <c r="A72" s="228"/>
      <c r="B72" s="226" t="s">
        <v>1096</v>
      </c>
      <c r="C72" s="230"/>
      <c r="D72" s="231"/>
      <c r="E72" s="231"/>
      <c r="F72" s="228"/>
      <c r="G72" s="226" t="s">
        <v>1096</v>
      </c>
      <c r="H72" s="230"/>
      <c r="I72" s="230"/>
      <c r="J72" s="230"/>
      <c r="K72" s="233"/>
      <c r="L72" s="233"/>
      <c r="M72" s="233"/>
    </row>
    <row r="73" spans="1:13" s="224" customFormat="1" ht="33" x14ac:dyDescent="0.25">
      <c r="A73" s="228" t="s">
        <v>27</v>
      </c>
      <c r="B73" s="229" t="s">
        <v>753</v>
      </c>
      <c r="C73" s="230">
        <v>95</v>
      </c>
      <c r="D73" s="169">
        <v>75</v>
      </c>
      <c r="E73" s="236">
        <v>60</v>
      </c>
      <c r="F73" s="228" t="s">
        <v>27</v>
      </c>
      <c r="G73" s="229" t="s">
        <v>753</v>
      </c>
      <c r="H73" s="230">
        <f t="shared" si="6"/>
        <v>104.50000000000001</v>
      </c>
      <c r="I73" s="230">
        <f t="shared" si="6"/>
        <v>82.5</v>
      </c>
      <c r="J73" s="230">
        <f t="shared" si="6"/>
        <v>66</v>
      </c>
      <c r="K73" s="233">
        <f t="shared" si="2"/>
        <v>10.000000000000014</v>
      </c>
      <c r="L73" s="233">
        <f t="shared" si="2"/>
        <v>10.000000000000014</v>
      </c>
      <c r="M73" s="233">
        <f t="shared" si="2"/>
        <v>10.000000000000014</v>
      </c>
    </row>
    <row r="74" spans="1:13" s="224" customFormat="1" ht="49.5" x14ac:dyDescent="0.25">
      <c r="A74" s="228" t="s">
        <v>31</v>
      </c>
      <c r="B74" s="229" t="s">
        <v>754</v>
      </c>
      <c r="C74" s="230">
        <v>140</v>
      </c>
      <c r="D74" s="234">
        <v>100</v>
      </c>
      <c r="E74" s="234">
        <v>85</v>
      </c>
      <c r="F74" s="228" t="s">
        <v>31</v>
      </c>
      <c r="G74" s="229" t="s">
        <v>1097</v>
      </c>
      <c r="H74" s="230">
        <f>C74*1.3</f>
        <v>182</v>
      </c>
      <c r="I74" s="230">
        <f>D74*1.2</f>
        <v>120</v>
      </c>
      <c r="J74" s="230">
        <f t="shared" si="6"/>
        <v>93.500000000000014</v>
      </c>
      <c r="K74" s="233">
        <f t="shared" si="2"/>
        <v>30</v>
      </c>
      <c r="L74" s="233">
        <f t="shared" si="2"/>
        <v>20</v>
      </c>
      <c r="M74" s="233">
        <f t="shared" si="2"/>
        <v>10.000000000000014</v>
      </c>
    </row>
    <row r="75" spans="1:13" s="224" customFormat="1" ht="33" x14ac:dyDescent="0.25">
      <c r="A75" s="228" t="s">
        <v>33</v>
      </c>
      <c r="B75" s="229" t="s">
        <v>755</v>
      </c>
      <c r="C75" s="230">
        <v>95</v>
      </c>
      <c r="D75" s="169">
        <v>80</v>
      </c>
      <c r="E75" s="236">
        <v>60</v>
      </c>
      <c r="F75" s="228" t="s">
        <v>33</v>
      </c>
      <c r="G75" s="229" t="s">
        <v>1098</v>
      </c>
      <c r="H75" s="230">
        <f t="shared" si="6"/>
        <v>104.50000000000001</v>
      </c>
      <c r="I75" s="230">
        <f t="shared" si="6"/>
        <v>88</v>
      </c>
      <c r="J75" s="230">
        <f t="shared" si="6"/>
        <v>66</v>
      </c>
      <c r="K75" s="233">
        <f t="shared" si="2"/>
        <v>10.000000000000014</v>
      </c>
      <c r="L75" s="233">
        <f t="shared" si="2"/>
        <v>10.000000000000014</v>
      </c>
      <c r="M75" s="233">
        <f t="shared" si="2"/>
        <v>10.000000000000014</v>
      </c>
    </row>
    <row r="76" spans="1:13" s="224" customFormat="1" ht="33" x14ac:dyDescent="0.25">
      <c r="A76" s="228" t="s">
        <v>213</v>
      </c>
      <c r="B76" s="229" t="s">
        <v>756</v>
      </c>
      <c r="C76" s="230">
        <v>95</v>
      </c>
      <c r="D76" s="169">
        <v>80</v>
      </c>
      <c r="E76" s="236">
        <v>60</v>
      </c>
      <c r="F76" s="228" t="s">
        <v>213</v>
      </c>
      <c r="G76" s="229" t="s">
        <v>1099</v>
      </c>
      <c r="H76" s="230">
        <f t="shared" si="6"/>
        <v>104.50000000000001</v>
      </c>
      <c r="I76" s="230">
        <f t="shared" si="6"/>
        <v>88</v>
      </c>
      <c r="J76" s="230">
        <f t="shared" si="6"/>
        <v>66</v>
      </c>
      <c r="K76" s="233">
        <f t="shared" si="2"/>
        <v>10.000000000000014</v>
      </c>
      <c r="L76" s="233">
        <f t="shared" si="2"/>
        <v>10.000000000000014</v>
      </c>
      <c r="M76" s="233">
        <f t="shared" si="2"/>
        <v>10.000000000000014</v>
      </c>
    </row>
    <row r="77" spans="1:13" s="224" customFormat="1" ht="16.5" x14ac:dyDescent="0.25">
      <c r="A77" s="228" t="s">
        <v>215</v>
      </c>
      <c r="B77" s="229" t="s">
        <v>739</v>
      </c>
      <c r="C77" s="230">
        <v>80</v>
      </c>
      <c r="D77" s="169">
        <v>70</v>
      </c>
      <c r="E77" s="169">
        <v>55</v>
      </c>
      <c r="F77" s="228" t="s">
        <v>215</v>
      </c>
      <c r="G77" s="229" t="s">
        <v>739</v>
      </c>
      <c r="H77" s="230">
        <f t="shared" si="6"/>
        <v>88</v>
      </c>
      <c r="I77" s="230">
        <f t="shared" si="6"/>
        <v>77</v>
      </c>
      <c r="J77" s="230">
        <f t="shared" si="6"/>
        <v>60.500000000000007</v>
      </c>
      <c r="K77" s="233">
        <f t="shared" si="2"/>
        <v>10.000000000000014</v>
      </c>
      <c r="L77" s="233">
        <f t="shared" si="2"/>
        <v>10.000000000000014</v>
      </c>
      <c r="M77" s="233">
        <f t="shared" si="2"/>
        <v>10.000000000000014</v>
      </c>
    </row>
    <row r="78" spans="1:13" s="224" customFormat="1" ht="16.5" x14ac:dyDescent="0.25">
      <c r="A78" s="228"/>
      <c r="B78" s="226" t="s">
        <v>1100</v>
      </c>
      <c r="C78" s="230"/>
      <c r="D78" s="169"/>
      <c r="E78" s="236"/>
      <c r="F78" s="228"/>
      <c r="G78" s="226" t="s">
        <v>1100</v>
      </c>
      <c r="H78" s="230"/>
      <c r="I78" s="230"/>
      <c r="J78" s="230"/>
      <c r="K78" s="233"/>
      <c r="L78" s="233"/>
      <c r="M78" s="233"/>
    </row>
    <row r="79" spans="1:13" s="224" customFormat="1" ht="33" x14ac:dyDescent="0.25">
      <c r="A79" s="228" t="s">
        <v>217</v>
      </c>
      <c r="B79" s="229" t="s">
        <v>757</v>
      </c>
      <c r="C79" s="248">
        <v>90</v>
      </c>
      <c r="D79" s="171">
        <v>80</v>
      </c>
      <c r="E79" s="249">
        <v>70</v>
      </c>
      <c r="F79" s="228" t="s">
        <v>217</v>
      </c>
      <c r="G79" s="229" t="s">
        <v>757</v>
      </c>
      <c r="H79" s="230">
        <f t="shared" si="6"/>
        <v>99.000000000000014</v>
      </c>
      <c r="I79" s="230">
        <f t="shared" si="6"/>
        <v>88</v>
      </c>
      <c r="J79" s="230">
        <f t="shared" si="6"/>
        <v>77</v>
      </c>
      <c r="K79" s="233">
        <f t="shared" si="2"/>
        <v>10.000000000000014</v>
      </c>
      <c r="L79" s="233">
        <f t="shared" si="2"/>
        <v>10.000000000000014</v>
      </c>
      <c r="M79" s="233">
        <f t="shared" si="2"/>
        <v>10.000000000000014</v>
      </c>
    </row>
    <row r="80" spans="1:13" s="224" customFormat="1" ht="33" x14ac:dyDescent="0.25">
      <c r="A80" s="228" t="s">
        <v>218</v>
      </c>
      <c r="B80" s="229" t="s">
        <v>758</v>
      </c>
      <c r="C80" s="248">
        <v>120</v>
      </c>
      <c r="D80" s="171">
        <v>100</v>
      </c>
      <c r="E80" s="249">
        <v>90</v>
      </c>
      <c r="F80" s="228" t="s">
        <v>218</v>
      </c>
      <c r="G80" s="229" t="s">
        <v>758</v>
      </c>
      <c r="H80" s="230">
        <f t="shared" si="6"/>
        <v>132</v>
      </c>
      <c r="I80" s="230">
        <f t="shared" si="6"/>
        <v>110.00000000000001</v>
      </c>
      <c r="J80" s="230">
        <f t="shared" si="6"/>
        <v>99.000000000000014</v>
      </c>
      <c r="K80" s="233">
        <f t="shared" si="2"/>
        <v>10.000000000000014</v>
      </c>
      <c r="L80" s="233">
        <f t="shared" si="2"/>
        <v>10.000000000000014</v>
      </c>
      <c r="M80" s="233">
        <f t="shared" si="2"/>
        <v>10.000000000000014</v>
      </c>
    </row>
    <row r="81" spans="1:17" s="224" customFormat="1" ht="33" x14ac:dyDescent="0.25">
      <c r="A81" s="228" t="s">
        <v>219</v>
      </c>
      <c r="B81" s="229" t="s">
        <v>759</v>
      </c>
      <c r="C81" s="248">
        <v>90</v>
      </c>
      <c r="D81" s="171">
        <v>80</v>
      </c>
      <c r="E81" s="249">
        <v>70</v>
      </c>
      <c r="F81" s="228" t="s">
        <v>219</v>
      </c>
      <c r="G81" s="229" t="s">
        <v>759</v>
      </c>
      <c r="H81" s="230">
        <f t="shared" si="6"/>
        <v>99.000000000000014</v>
      </c>
      <c r="I81" s="230">
        <f t="shared" si="6"/>
        <v>88</v>
      </c>
      <c r="J81" s="230">
        <f t="shared" si="6"/>
        <v>77</v>
      </c>
      <c r="K81" s="233">
        <f t="shared" si="2"/>
        <v>10.000000000000014</v>
      </c>
      <c r="L81" s="233">
        <f t="shared" si="2"/>
        <v>10.000000000000014</v>
      </c>
      <c r="M81" s="233">
        <f t="shared" si="2"/>
        <v>10.000000000000014</v>
      </c>
    </row>
    <row r="82" spans="1:17" s="224" customFormat="1" ht="16.5" x14ac:dyDescent="0.25">
      <c r="A82" s="228" t="s">
        <v>221</v>
      </c>
      <c r="B82" s="229" t="s">
        <v>739</v>
      </c>
      <c r="C82" s="248">
        <v>60</v>
      </c>
      <c r="D82" s="171">
        <v>55</v>
      </c>
      <c r="E82" s="249">
        <v>50</v>
      </c>
      <c r="F82" s="228" t="s">
        <v>221</v>
      </c>
      <c r="G82" s="229" t="s">
        <v>739</v>
      </c>
      <c r="H82" s="230">
        <f t="shared" si="6"/>
        <v>66</v>
      </c>
      <c r="I82" s="230">
        <f t="shared" si="6"/>
        <v>60.500000000000007</v>
      </c>
      <c r="J82" s="230">
        <f t="shared" si="6"/>
        <v>55.000000000000007</v>
      </c>
      <c r="K82" s="233">
        <f t="shared" si="2"/>
        <v>10.000000000000014</v>
      </c>
      <c r="L82" s="233">
        <f t="shared" si="2"/>
        <v>10.000000000000014</v>
      </c>
      <c r="M82" s="233">
        <f t="shared" si="2"/>
        <v>10.000000000000014</v>
      </c>
    </row>
    <row r="83" spans="1:17" s="224" customFormat="1" ht="16.5" x14ac:dyDescent="0.25">
      <c r="A83" s="250"/>
      <c r="B83" s="226" t="s">
        <v>1101</v>
      </c>
      <c r="C83" s="251"/>
      <c r="D83" s="172"/>
      <c r="E83" s="252"/>
      <c r="F83" s="250"/>
      <c r="G83" s="226" t="s">
        <v>1101</v>
      </c>
      <c r="H83" s="230"/>
      <c r="I83" s="230"/>
      <c r="J83" s="230"/>
      <c r="K83" s="233"/>
      <c r="L83" s="233"/>
      <c r="M83" s="233"/>
    </row>
    <row r="84" spans="1:17" s="224" customFormat="1" ht="16.5" x14ac:dyDescent="0.25">
      <c r="A84" s="253" t="s">
        <v>245</v>
      </c>
      <c r="B84" s="229" t="s">
        <v>760</v>
      </c>
      <c r="C84" s="230" t="s">
        <v>761</v>
      </c>
      <c r="D84" s="230">
        <v>90</v>
      </c>
      <c r="E84" s="230">
        <v>80</v>
      </c>
      <c r="F84" s="253" t="s">
        <v>245</v>
      </c>
      <c r="G84" s="229" t="s">
        <v>760</v>
      </c>
      <c r="H84" s="230">
        <f t="shared" si="6"/>
        <v>110.00000000000001</v>
      </c>
      <c r="I84" s="230">
        <f t="shared" si="6"/>
        <v>99.000000000000014</v>
      </c>
      <c r="J84" s="230">
        <f t="shared" si="6"/>
        <v>88</v>
      </c>
      <c r="K84" s="233">
        <f t="shared" si="2"/>
        <v>10.000000000000014</v>
      </c>
      <c r="L84" s="233">
        <f t="shared" si="2"/>
        <v>10.000000000000014</v>
      </c>
      <c r="M84" s="233">
        <f t="shared" si="2"/>
        <v>10.000000000000014</v>
      </c>
    </row>
    <row r="85" spans="1:17" s="224" customFormat="1" ht="33" x14ac:dyDescent="0.25">
      <c r="A85" s="253" t="s">
        <v>247</v>
      </c>
      <c r="B85" s="229" t="s">
        <v>762</v>
      </c>
      <c r="C85" s="230">
        <v>80</v>
      </c>
      <c r="D85" s="230">
        <v>70</v>
      </c>
      <c r="E85" s="230">
        <v>60</v>
      </c>
      <c r="F85" s="253" t="s">
        <v>247</v>
      </c>
      <c r="G85" s="229" t="s">
        <v>762</v>
      </c>
      <c r="H85" s="230">
        <f t="shared" si="6"/>
        <v>88</v>
      </c>
      <c r="I85" s="230">
        <f t="shared" si="6"/>
        <v>77</v>
      </c>
      <c r="J85" s="230">
        <f t="shared" si="6"/>
        <v>66</v>
      </c>
      <c r="K85" s="233">
        <f t="shared" si="2"/>
        <v>10.000000000000014</v>
      </c>
      <c r="L85" s="233">
        <f t="shared" si="2"/>
        <v>10.000000000000014</v>
      </c>
      <c r="M85" s="233">
        <f t="shared" si="2"/>
        <v>10.000000000000014</v>
      </c>
    </row>
    <row r="86" spans="1:17" s="224" customFormat="1" ht="16.5" x14ac:dyDescent="0.25">
      <c r="A86" s="253" t="s">
        <v>248</v>
      </c>
      <c r="B86" s="229" t="s">
        <v>763</v>
      </c>
      <c r="C86" s="230">
        <v>70</v>
      </c>
      <c r="D86" s="230">
        <v>60</v>
      </c>
      <c r="E86" s="230">
        <v>50</v>
      </c>
      <c r="F86" s="253" t="s">
        <v>248</v>
      </c>
      <c r="G86" s="229" t="s">
        <v>763</v>
      </c>
      <c r="H86" s="230">
        <f t="shared" si="6"/>
        <v>77</v>
      </c>
      <c r="I86" s="230">
        <f t="shared" si="6"/>
        <v>66</v>
      </c>
      <c r="J86" s="230">
        <f t="shared" si="6"/>
        <v>55.000000000000007</v>
      </c>
      <c r="K86" s="233">
        <f t="shared" si="2"/>
        <v>10.000000000000014</v>
      </c>
      <c r="L86" s="233">
        <f t="shared" si="2"/>
        <v>10.000000000000014</v>
      </c>
      <c r="M86" s="233">
        <f t="shared" si="2"/>
        <v>10.000000000000014</v>
      </c>
    </row>
    <row r="87" spans="1:17" s="224" customFormat="1" ht="16.5" x14ac:dyDescent="0.25">
      <c r="A87" s="228"/>
      <c r="B87" s="226" t="s">
        <v>1102</v>
      </c>
      <c r="C87" s="230"/>
      <c r="D87" s="169"/>
      <c r="E87" s="236"/>
      <c r="F87" s="228"/>
      <c r="G87" s="226" t="s">
        <v>1102</v>
      </c>
      <c r="H87" s="230"/>
      <c r="I87" s="230"/>
      <c r="J87" s="230"/>
      <c r="K87" s="233"/>
      <c r="L87" s="233"/>
      <c r="M87" s="233"/>
    </row>
    <row r="88" spans="1:17" s="224" customFormat="1" ht="49.5" x14ac:dyDescent="0.25">
      <c r="A88" s="228" t="s">
        <v>277</v>
      </c>
      <c r="B88" s="229" t="s">
        <v>764</v>
      </c>
      <c r="C88" s="230">
        <v>85</v>
      </c>
      <c r="D88" s="169">
        <v>70</v>
      </c>
      <c r="E88" s="236">
        <v>60</v>
      </c>
      <c r="F88" s="228" t="s">
        <v>277</v>
      </c>
      <c r="G88" s="229" t="s">
        <v>764</v>
      </c>
      <c r="H88" s="230">
        <f t="shared" si="6"/>
        <v>93.500000000000014</v>
      </c>
      <c r="I88" s="230">
        <f t="shared" si="6"/>
        <v>77</v>
      </c>
      <c r="J88" s="230">
        <f t="shared" si="6"/>
        <v>66</v>
      </c>
      <c r="K88" s="233">
        <f t="shared" si="2"/>
        <v>10.000000000000014</v>
      </c>
      <c r="L88" s="233">
        <f t="shared" si="2"/>
        <v>10.000000000000014</v>
      </c>
      <c r="M88" s="233">
        <f t="shared" si="2"/>
        <v>10.000000000000014</v>
      </c>
      <c r="N88" s="254"/>
      <c r="P88" s="255"/>
      <c r="Q88" s="256"/>
    </row>
    <row r="89" spans="1:17" s="224" customFormat="1" ht="49.5" x14ac:dyDescent="0.25">
      <c r="A89" s="228" t="s">
        <v>279</v>
      </c>
      <c r="B89" s="229" t="s">
        <v>765</v>
      </c>
      <c r="C89" s="230">
        <v>120</v>
      </c>
      <c r="D89" s="169">
        <v>85</v>
      </c>
      <c r="E89" s="236">
        <v>75</v>
      </c>
      <c r="F89" s="228" t="s">
        <v>279</v>
      </c>
      <c r="G89" s="229" t="s">
        <v>1103</v>
      </c>
      <c r="H89" s="230">
        <v>140</v>
      </c>
      <c r="I89" s="230">
        <v>100</v>
      </c>
      <c r="J89" s="230">
        <v>85</v>
      </c>
      <c r="K89" s="233">
        <f t="shared" si="2"/>
        <v>16.666666666666671</v>
      </c>
      <c r="L89" s="233">
        <f t="shared" si="2"/>
        <v>17.64705882352942</v>
      </c>
      <c r="M89" s="233">
        <f t="shared" si="2"/>
        <v>13.333333333333329</v>
      </c>
      <c r="N89" s="254"/>
      <c r="O89" s="257"/>
      <c r="P89" s="255"/>
      <c r="Q89" s="256"/>
    </row>
    <row r="90" spans="1:17" s="224" customFormat="1" ht="33" x14ac:dyDescent="0.25">
      <c r="A90" s="228" t="s">
        <v>280</v>
      </c>
      <c r="B90" s="229" t="s">
        <v>766</v>
      </c>
      <c r="C90" s="230">
        <v>85</v>
      </c>
      <c r="D90" s="169">
        <v>70</v>
      </c>
      <c r="E90" s="236">
        <v>60</v>
      </c>
      <c r="F90" s="228" t="s">
        <v>280</v>
      </c>
      <c r="G90" s="229" t="s">
        <v>1104</v>
      </c>
      <c r="H90" s="230">
        <v>120</v>
      </c>
      <c r="I90" s="230">
        <v>110</v>
      </c>
      <c r="J90" s="230">
        <v>100</v>
      </c>
      <c r="K90" s="233">
        <f t="shared" si="2"/>
        <v>41.176470588235304</v>
      </c>
      <c r="L90" s="233">
        <f t="shared" si="2"/>
        <v>57.142857142857139</v>
      </c>
      <c r="M90" s="233">
        <f t="shared" si="2"/>
        <v>66.666666666666686</v>
      </c>
      <c r="N90" s="254"/>
      <c r="O90" s="257"/>
      <c r="P90" s="255"/>
      <c r="Q90" s="256"/>
    </row>
    <row r="91" spans="1:17" s="224" customFormat="1" ht="33" x14ac:dyDescent="0.25">
      <c r="A91" s="228"/>
      <c r="B91" s="229"/>
      <c r="C91" s="230"/>
      <c r="D91" s="169"/>
      <c r="E91" s="236"/>
      <c r="F91" s="228" t="s">
        <v>281</v>
      </c>
      <c r="G91" s="229" t="s">
        <v>767</v>
      </c>
      <c r="H91" s="230">
        <v>110</v>
      </c>
      <c r="I91" s="230">
        <v>100</v>
      </c>
      <c r="J91" s="230">
        <v>90</v>
      </c>
      <c r="K91" s="233"/>
      <c r="L91" s="233"/>
      <c r="M91" s="233"/>
      <c r="N91" s="254"/>
      <c r="O91" s="257"/>
      <c r="P91" s="255"/>
      <c r="Q91" s="255"/>
    </row>
    <row r="92" spans="1:17" s="224" customFormat="1" ht="16.5" x14ac:dyDescent="0.25">
      <c r="A92" s="228" t="s">
        <v>281</v>
      </c>
      <c r="B92" s="229" t="s">
        <v>739</v>
      </c>
      <c r="C92" s="230">
        <v>70</v>
      </c>
      <c r="D92" s="169">
        <v>65</v>
      </c>
      <c r="E92" s="236">
        <v>55</v>
      </c>
      <c r="F92" s="228" t="s">
        <v>284</v>
      </c>
      <c r="G92" s="229" t="s">
        <v>739</v>
      </c>
      <c r="H92" s="233">
        <f t="shared" si="6"/>
        <v>77</v>
      </c>
      <c r="I92" s="233">
        <f t="shared" si="6"/>
        <v>71.5</v>
      </c>
      <c r="J92" s="233">
        <f t="shared" si="6"/>
        <v>60.500000000000007</v>
      </c>
      <c r="K92" s="233">
        <f t="shared" si="2"/>
        <v>10.000000000000014</v>
      </c>
      <c r="L92" s="233">
        <f t="shared" si="2"/>
        <v>10.000000000000014</v>
      </c>
      <c r="M92" s="233">
        <f t="shared" si="2"/>
        <v>10.000000000000014</v>
      </c>
      <c r="O92" s="255"/>
      <c r="P92" s="256"/>
    </row>
  </sheetData>
  <autoFilter ref="A3:M92">
    <filterColumn colId="2" showButton="0"/>
    <filterColumn colId="3" showButton="0"/>
    <filterColumn colId="7" showButton="0"/>
    <filterColumn colId="8" showButton="0"/>
  </autoFilter>
  <mergeCells count="7">
    <mergeCell ref="F1:J1"/>
    <mergeCell ref="C3:E3"/>
    <mergeCell ref="H3:J3"/>
    <mergeCell ref="K3:M3"/>
    <mergeCell ref="G3:G4"/>
    <mergeCell ref="F3:F4"/>
    <mergeCell ref="G2:J2"/>
  </mergeCells>
  <printOptions horizontalCentered="1"/>
  <pageMargins left="0.28740157500000002" right="0.19055118110236199" top="0.49055118110236201" bottom="0.19055118110236199" header="0.31496062992126" footer="0.31496062992126"/>
  <pageSetup paperSize="9" scale="90" firstPageNumber="39" fitToHeight="0" orientation="portrait" useFirstPageNumber="1" r:id="rId1"/>
  <headerFooter>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topLeftCell="F1" zoomScale="90" zoomScaleNormal="90" workbookViewId="0">
      <selection activeCell="U10" sqref="U10"/>
    </sheetView>
  </sheetViews>
  <sheetFormatPr defaultRowHeight="15.75" x14ac:dyDescent="0.25"/>
  <cols>
    <col min="1" max="1" width="5.85546875" style="42" hidden="1" customWidth="1"/>
    <col min="2" max="2" width="40.28515625" style="36" hidden="1" customWidth="1"/>
    <col min="3" max="3" width="8.28515625" style="36" hidden="1" customWidth="1"/>
    <col min="4" max="4" width="8.85546875" style="36" hidden="1" customWidth="1"/>
    <col min="5" max="5" width="10.7109375" style="36" hidden="1" customWidth="1"/>
    <col min="6" max="6" width="7.42578125" style="36" customWidth="1"/>
    <col min="7" max="7" width="58.42578125" style="36" customWidth="1"/>
    <col min="8" max="9" width="12" style="39" customWidth="1"/>
    <col min="10" max="10" width="15" style="39" customWidth="1"/>
    <col min="11" max="11" width="28.42578125" style="36" hidden="1" customWidth="1"/>
    <col min="12" max="12" width="10.7109375" style="36" hidden="1" customWidth="1"/>
    <col min="13" max="15" width="0" style="36" hidden="1" customWidth="1"/>
    <col min="16" max="16" width="11.85546875" style="40" hidden="1" customWidth="1"/>
    <col min="17" max="17" width="9.85546875" style="41" hidden="1" customWidth="1"/>
    <col min="18" max="18" width="8.85546875" style="41" hidden="1" customWidth="1"/>
    <col min="19" max="19" width="21.7109375" style="41" hidden="1" customWidth="1"/>
    <col min="20" max="255" width="9.140625" style="36"/>
    <col min="256" max="256" width="39.28515625" style="36" customWidth="1"/>
    <col min="257" max="260" width="9.140625" style="36"/>
    <col min="261" max="261" width="8.7109375" style="36" customWidth="1"/>
    <col min="262" max="262" width="35" style="36" customWidth="1"/>
    <col min="263" max="266" width="9.140625" style="36"/>
    <col min="267" max="267" width="30.7109375" style="36" customWidth="1"/>
    <col min="268" max="511" width="9.140625" style="36"/>
    <col min="512" max="512" width="39.28515625" style="36" customWidth="1"/>
    <col min="513" max="516" width="9.140625" style="36"/>
    <col min="517" max="517" width="8.7109375" style="36" customWidth="1"/>
    <col min="518" max="518" width="35" style="36" customWidth="1"/>
    <col min="519" max="522" width="9.140625" style="36"/>
    <col min="523" max="523" width="30.7109375" style="36" customWidth="1"/>
    <col min="524" max="767" width="9.140625" style="36"/>
    <col min="768" max="768" width="39.28515625" style="36" customWidth="1"/>
    <col min="769" max="772" width="9.140625" style="36"/>
    <col min="773" max="773" width="8.7109375" style="36" customWidth="1"/>
    <col min="774" max="774" width="35" style="36" customWidth="1"/>
    <col min="775" max="778" width="9.140625" style="36"/>
    <col min="779" max="779" width="30.7109375" style="36" customWidth="1"/>
    <col min="780" max="1023" width="9.140625" style="36"/>
    <col min="1024" max="1024" width="39.28515625" style="36" customWidth="1"/>
    <col min="1025" max="1028" width="9.140625" style="36"/>
    <col min="1029" max="1029" width="8.7109375" style="36" customWidth="1"/>
    <col min="1030" max="1030" width="35" style="36" customWidth="1"/>
    <col min="1031" max="1034" width="9.140625" style="36"/>
    <col min="1035" max="1035" width="30.7109375" style="36" customWidth="1"/>
    <col min="1036" max="1279" width="9.140625" style="36"/>
    <col min="1280" max="1280" width="39.28515625" style="36" customWidth="1"/>
    <col min="1281" max="1284" width="9.140625" style="36"/>
    <col min="1285" max="1285" width="8.7109375" style="36" customWidth="1"/>
    <col min="1286" max="1286" width="35" style="36" customWidth="1"/>
    <col min="1287" max="1290" width="9.140625" style="36"/>
    <col min="1291" max="1291" width="30.7109375" style="36" customWidth="1"/>
    <col min="1292" max="1535" width="9.140625" style="36"/>
    <col min="1536" max="1536" width="39.28515625" style="36" customWidth="1"/>
    <col min="1537" max="1540" width="9.140625" style="36"/>
    <col min="1541" max="1541" width="8.7109375" style="36" customWidth="1"/>
    <col min="1542" max="1542" width="35" style="36" customWidth="1"/>
    <col min="1543" max="1546" width="9.140625" style="36"/>
    <col min="1547" max="1547" width="30.7109375" style="36" customWidth="1"/>
    <col min="1548" max="1791" width="9.140625" style="36"/>
    <col min="1792" max="1792" width="39.28515625" style="36" customWidth="1"/>
    <col min="1793" max="1796" width="9.140625" style="36"/>
    <col min="1797" max="1797" width="8.7109375" style="36" customWidth="1"/>
    <col min="1798" max="1798" width="35" style="36" customWidth="1"/>
    <col min="1799" max="1802" width="9.140625" style="36"/>
    <col min="1803" max="1803" width="30.7109375" style="36" customWidth="1"/>
    <col min="1804" max="2047" width="9.140625" style="36"/>
    <col min="2048" max="2048" width="39.28515625" style="36" customWidth="1"/>
    <col min="2049" max="2052" width="9.140625" style="36"/>
    <col min="2053" max="2053" width="8.7109375" style="36" customWidth="1"/>
    <col min="2054" max="2054" width="35" style="36" customWidth="1"/>
    <col min="2055" max="2058" width="9.140625" style="36"/>
    <col min="2059" max="2059" width="30.7109375" style="36" customWidth="1"/>
    <col min="2060" max="2303" width="9.140625" style="36"/>
    <col min="2304" max="2304" width="39.28515625" style="36" customWidth="1"/>
    <col min="2305" max="2308" width="9.140625" style="36"/>
    <col min="2309" max="2309" width="8.7109375" style="36" customWidth="1"/>
    <col min="2310" max="2310" width="35" style="36" customWidth="1"/>
    <col min="2311" max="2314" width="9.140625" style="36"/>
    <col min="2315" max="2315" width="30.7109375" style="36" customWidth="1"/>
    <col min="2316" max="2559" width="9.140625" style="36"/>
    <col min="2560" max="2560" width="39.28515625" style="36" customWidth="1"/>
    <col min="2561" max="2564" width="9.140625" style="36"/>
    <col min="2565" max="2565" width="8.7109375" style="36" customWidth="1"/>
    <col min="2566" max="2566" width="35" style="36" customWidth="1"/>
    <col min="2567" max="2570" width="9.140625" style="36"/>
    <col min="2571" max="2571" width="30.7109375" style="36" customWidth="1"/>
    <col min="2572" max="2815" width="9.140625" style="36"/>
    <col min="2816" max="2816" width="39.28515625" style="36" customWidth="1"/>
    <col min="2817" max="2820" width="9.140625" style="36"/>
    <col min="2821" max="2821" width="8.7109375" style="36" customWidth="1"/>
    <col min="2822" max="2822" width="35" style="36" customWidth="1"/>
    <col min="2823" max="2826" width="9.140625" style="36"/>
    <col min="2827" max="2827" width="30.7109375" style="36" customWidth="1"/>
    <col min="2828" max="3071" width="9.140625" style="36"/>
    <col min="3072" max="3072" width="39.28515625" style="36" customWidth="1"/>
    <col min="3073" max="3076" width="9.140625" style="36"/>
    <col min="3077" max="3077" width="8.7109375" style="36" customWidth="1"/>
    <col min="3078" max="3078" width="35" style="36" customWidth="1"/>
    <col min="3079" max="3082" width="9.140625" style="36"/>
    <col min="3083" max="3083" width="30.7109375" style="36" customWidth="1"/>
    <col min="3084" max="3327" width="9.140625" style="36"/>
    <col min="3328" max="3328" width="39.28515625" style="36" customWidth="1"/>
    <col min="3329" max="3332" width="9.140625" style="36"/>
    <col min="3333" max="3333" width="8.7109375" style="36" customWidth="1"/>
    <col min="3334" max="3334" width="35" style="36" customWidth="1"/>
    <col min="3335" max="3338" width="9.140625" style="36"/>
    <col min="3339" max="3339" width="30.7109375" style="36" customWidth="1"/>
    <col min="3340" max="3583" width="9.140625" style="36"/>
    <col min="3584" max="3584" width="39.28515625" style="36" customWidth="1"/>
    <col min="3585" max="3588" width="9.140625" style="36"/>
    <col min="3589" max="3589" width="8.7109375" style="36" customWidth="1"/>
    <col min="3590" max="3590" width="35" style="36" customWidth="1"/>
    <col min="3591" max="3594" width="9.140625" style="36"/>
    <col min="3595" max="3595" width="30.7109375" style="36" customWidth="1"/>
    <col min="3596" max="3839" width="9.140625" style="36"/>
    <col min="3840" max="3840" width="39.28515625" style="36" customWidth="1"/>
    <col min="3841" max="3844" width="9.140625" style="36"/>
    <col min="3845" max="3845" width="8.7109375" style="36" customWidth="1"/>
    <col min="3846" max="3846" width="35" style="36" customWidth="1"/>
    <col min="3847" max="3850" width="9.140625" style="36"/>
    <col min="3851" max="3851" width="30.7109375" style="36" customWidth="1"/>
    <col min="3852" max="4095" width="9.140625" style="36"/>
    <col min="4096" max="4096" width="39.28515625" style="36" customWidth="1"/>
    <col min="4097" max="4100" width="9.140625" style="36"/>
    <col min="4101" max="4101" width="8.7109375" style="36" customWidth="1"/>
    <col min="4102" max="4102" width="35" style="36" customWidth="1"/>
    <col min="4103" max="4106" width="9.140625" style="36"/>
    <col min="4107" max="4107" width="30.7109375" style="36" customWidth="1"/>
    <col min="4108" max="4351" width="9.140625" style="36"/>
    <col min="4352" max="4352" width="39.28515625" style="36" customWidth="1"/>
    <col min="4353" max="4356" width="9.140625" style="36"/>
    <col min="4357" max="4357" width="8.7109375" style="36" customWidth="1"/>
    <col min="4358" max="4358" width="35" style="36" customWidth="1"/>
    <col min="4359" max="4362" width="9.140625" style="36"/>
    <col min="4363" max="4363" width="30.7109375" style="36" customWidth="1"/>
    <col min="4364" max="4607" width="9.140625" style="36"/>
    <col min="4608" max="4608" width="39.28515625" style="36" customWidth="1"/>
    <col min="4609" max="4612" width="9.140625" style="36"/>
    <col min="4613" max="4613" width="8.7109375" style="36" customWidth="1"/>
    <col min="4614" max="4614" width="35" style="36" customWidth="1"/>
    <col min="4615" max="4618" width="9.140625" style="36"/>
    <col min="4619" max="4619" width="30.7109375" style="36" customWidth="1"/>
    <col min="4620" max="4863" width="9.140625" style="36"/>
    <col min="4864" max="4864" width="39.28515625" style="36" customWidth="1"/>
    <col min="4865" max="4868" width="9.140625" style="36"/>
    <col min="4869" max="4869" width="8.7109375" style="36" customWidth="1"/>
    <col min="4870" max="4870" width="35" style="36" customWidth="1"/>
    <col min="4871" max="4874" width="9.140625" style="36"/>
    <col min="4875" max="4875" width="30.7109375" style="36" customWidth="1"/>
    <col min="4876" max="5119" width="9.140625" style="36"/>
    <col min="5120" max="5120" width="39.28515625" style="36" customWidth="1"/>
    <col min="5121" max="5124" width="9.140625" style="36"/>
    <col min="5125" max="5125" width="8.7109375" style="36" customWidth="1"/>
    <col min="5126" max="5126" width="35" style="36" customWidth="1"/>
    <col min="5127" max="5130" width="9.140625" style="36"/>
    <col min="5131" max="5131" width="30.7109375" style="36" customWidth="1"/>
    <col min="5132" max="5375" width="9.140625" style="36"/>
    <col min="5376" max="5376" width="39.28515625" style="36" customWidth="1"/>
    <col min="5377" max="5380" width="9.140625" style="36"/>
    <col min="5381" max="5381" width="8.7109375" style="36" customWidth="1"/>
    <col min="5382" max="5382" width="35" style="36" customWidth="1"/>
    <col min="5383" max="5386" width="9.140625" style="36"/>
    <col min="5387" max="5387" width="30.7109375" style="36" customWidth="1"/>
    <col min="5388" max="5631" width="9.140625" style="36"/>
    <col min="5632" max="5632" width="39.28515625" style="36" customWidth="1"/>
    <col min="5633" max="5636" width="9.140625" style="36"/>
    <col min="5637" max="5637" width="8.7109375" style="36" customWidth="1"/>
    <col min="5638" max="5638" width="35" style="36" customWidth="1"/>
    <col min="5639" max="5642" width="9.140625" style="36"/>
    <col min="5643" max="5643" width="30.7109375" style="36" customWidth="1"/>
    <col min="5644" max="5887" width="9.140625" style="36"/>
    <col min="5888" max="5888" width="39.28515625" style="36" customWidth="1"/>
    <col min="5889" max="5892" width="9.140625" style="36"/>
    <col min="5893" max="5893" width="8.7109375" style="36" customWidth="1"/>
    <col min="5894" max="5894" width="35" style="36" customWidth="1"/>
    <col min="5895" max="5898" width="9.140625" style="36"/>
    <col min="5899" max="5899" width="30.7109375" style="36" customWidth="1"/>
    <col min="5900" max="6143" width="9.140625" style="36"/>
    <col min="6144" max="6144" width="39.28515625" style="36" customWidth="1"/>
    <col min="6145" max="6148" width="9.140625" style="36"/>
    <col min="6149" max="6149" width="8.7109375" style="36" customWidth="1"/>
    <col min="6150" max="6150" width="35" style="36" customWidth="1"/>
    <col min="6151" max="6154" width="9.140625" style="36"/>
    <col min="6155" max="6155" width="30.7109375" style="36" customWidth="1"/>
    <col min="6156" max="6399" width="9.140625" style="36"/>
    <col min="6400" max="6400" width="39.28515625" style="36" customWidth="1"/>
    <col min="6401" max="6404" width="9.140625" style="36"/>
    <col min="6405" max="6405" width="8.7109375" style="36" customWidth="1"/>
    <col min="6406" max="6406" width="35" style="36" customWidth="1"/>
    <col min="6407" max="6410" width="9.140625" style="36"/>
    <col min="6411" max="6411" width="30.7109375" style="36" customWidth="1"/>
    <col min="6412" max="6655" width="9.140625" style="36"/>
    <col min="6656" max="6656" width="39.28515625" style="36" customWidth="1"/>
    <col min="6657" max="6660" width="9.140625" style="36"/>
    <col min="6661" max="6661" width="8.7109375" style="36" customWidth="1"/>
    <col min="6662" max="6662" width="35" style="36" customWidth="1"/>
    <col min="6663" max="6666" width="9.140625" style="36"/>
    <col min="6667" max="6667" width="30.7109375" style="36" customWidth="1"/>
    <col min="6668" max="6911" width="9.140625" style="36"/>
    <col min="6912" max="6912" width="39.28515625" style="36" customWidth="1"/>
    <col min="6913" max="6916" width="9.140625" style="36"/>
    <col min="6917" max="6917" width="8.7109375" style="36" customWidth="1"/>
    <col min="6918" max="6918" width="35" style="36" customWidth="1"/>
    <col min="6919" max="6922" width="9.140625" style="36"/>
    <col min="6923" max="6923" width="30.7109375" style="36" customWidth="1"/>
    <col min="6924" max="7167" width="9.140625" style="36"/>
    <col min="7168" max="7168" width="39.28515625" style="36" customWidth="1"/>
    <col min="7169" max="7172" width="9.140625" style="36"/>
    <col min="7173" max="7173" width="8.7109375" style="36" customWidth="1"/>
    <col min="7174" max="7174" width="35" style="36" customWidth="1"/>
    <col min="7175" max="7178" width="9.140625" style="36"/>
    <col min="7179" max="7179" width="30.7109375" style="36" customWidth="1"/>
    <col min="7180" max="7423" width="9.140625" style="36"/>
    <col min="7424" max="7424" width="39.28515625" style="36" customWidth="1"/>
    <col min="7425" max="7428" width="9.140625" style="36"/>
    <col min="7429" max="7429" width="8.7109375" style="36" customWidth="1"/>
    <col min="7430" max="7430" width="35" style="36" customWidth="1"/>
    <col min="7431" max="7434" width="9.140625" style="36"/>
    <col min="7435" max="7435" width="30.7109375" style="36" customWidth="1"/>
    <col min="7436" max="7679" width="9.140625" style="36"/>
    <col min="7680" max="7680" width="39.28515625" style="36" customWidth="1"/>
    <col min="7681" max="7684" width="9.140625" style="36"/>
    <col min="7685" max="7685" width="8.7109375" style="36" customWidth="1"/>
    <col min="7686" max="7686" width="35" style="36" customWidth="1"/>
    <col min="7687" max="7690" width="9.140625" style="36"/>
    <col min="7691" max="7691" width="30.7109375" style="36" customWidth="1"/>
    <col min="7692" max="7935" width="9.140625" style="36"/>
    <col min="7936" max="7936" width="39.28515625" style="36" customWidth="1"/>
    <col min="7937" max="7940" width="9.140625" style="36"/>
    <col min="7941" max="7941" width="8.7109375" style="36" customWidth="1"/>
    <col min="7942" max="7942" width="35" style="36" customWidth="1"/>
    <col min="7943" max="7946" width="9.140625" style="36"/>
    <col min="7947" max="7947" width="30.7109375" style="36" customWidth="1"/>
    <col min="7948" max="8191" width="9.140625" style="36"/>
    <col min="8192" max="8192" width="39.28515625" style="36" customWidth="1"/>
    <col min="8193" max="8196" width="9.140625" style="36"/>
    <col min="8197" max="8197" width="8.7109375" style="36" customWidth="1"/>
    <col min="8198" max="8198" width="35" style="36" customWidth="1"/>
    <col min="8199" max="8202" width="9.140625" style="36"/>
    <col min="8203" max="8203" width="30.7109375" style="36" customWidth="1"/>
    <col min="8204" max="8447" width="9.140625" style="36"/>
    <col min="8448" max="8448" width="39.28515625" style="36" customWidth="1"/>
    <col min="8449" max="8452" width="9.140625" style="36"/>
    <col min="8453" max="8453" width="8.7109375" style="36" customWidth="1"/>
    <col min="8454" max="8454" width="35" style="36" customWidth="1"/>
    <col min="8455" max="8458" width="9.140625" style="36"/>
    <col min="8459" max="8459" width="30.7109375" style="36" customWidth="1"/>
    <col min="8460" max="8703" width="9.140625" style="36"/>
    <col min="8704" max="8704" width="39.28515625" style="36" customWidth="1"/>
    <col min="8705" max="8708" width="9.140625" style="36"/>
    <col min="8709" max="8709" width="8.7109375" style="36" customWidth="1"/>
    <col min="8710" max="8710" width="35" style="36" customWidth="1"/>
    <col min="8711" max="8714" width="9.140625" style="36"/>
    <col min="8715" max="8715" width="30.7109375" style="36" customWidth="1"/>
    <col min="8716" max="8959" width="9.140625" style="36"/>
    <col min="8960" max="8960" width="39.28515625" style="36" customWidth="1"/>
    <col min="8961" max="8964" width="9.140625" style="36"/>
    <col min="8965" max="8965" width="8.7109375" style="36" customWidth="1"/>
    <col min="8966" max="8966" width="35" style="36" customWidth="1"/>
    <col min="8967" max="8970" width="9.140625" style="36"/>
    <col min="8971" max="8971" width="30.7109375" style="36" customWidth="1"/>
    <col min="8972" max="9215" width="9.140625" style="36"/>
    <col min="9216" max="9216" width="39.28515625" style="36" customWidth="1"/>
    <col min="9217" max="9220" width="9.140625" style="36"/>
    <col min="9221" max="9221" width="8.7109375" style="36" customWidth="1"/>
    <col min="9222" max="9222" width="35" style="36" customWidth="1"/>
    <col min="9223" max="9226" width="9.140625" style="36"/>
    <col min="9227" max="9227" width="30.7109375" style="36" customWidth="1"/>
    <col min="9228" max="9471" width="9.140625" style="36"/>
    <col min="9472" max="9472" width="39.28515625" style="36" customWidth="1"/>
    <col min="9473" max="9476" width="9.140625" style="36"/>
    <col min="9477" max="9477" width="8.7109375" style="36" customWidth="1"/>
    <col min="9478" max="9478" width="35" style="36" customWidth="1"/>
    <col min="9479" max="9482" width="9.140625" style="36"/>
    <col min="9483" max="9483" width="30.7109375" style="36" customWidth="1"/>
    <col min="9484" max="9727" width="9.140625" style="36"/>
    <col min="9728" max="9728" width="39.28515625" style="36" customWidth="1"/>
    <col min="9729" max="9732" width="9.140625" style="36"/>
    <col min="9733" max="9733" width="8.7109375" style="36" customWidth="1"/>
    <col min="9734" max="9734" width="35" style="36" customWidth="1"/>
    <col min="9735" max="9738" width="9.140625" style="36"/>
    <col min="9739" max="9739" width="30.7109375" style="36" customWidth="1"/>
    <col min="9740" max="9983" width="9.140625" style="36"/>
    <col min="9984" max="9984" width="39.28515625" style="36" customWidth="1"/>
    <col min="9985" max="9988" width="9.140625" style="36"/>
    <col min="9989" max="9989" width="8.7109375" style="36" customWidth="1"/>
    <col min="9990" max="9990" width="35" style="36" customWidth="1"/>
    <col min="9991" max="9994" width="9.140625" style="36"/>
    <col min="9995" max="9995" width="30.7109375" style="36" customWidth="1"/>
    <col min="9996" max="10239" width="9.140625" style="36"/>
    <col min="10240" max="10240" width="39.28515625" style="36" customWidth="1"/>
    <col min="10241" max="10244" width="9.140625" style="36"/>
    <col min="10245" max="10245" width="8.7109375" style="36" customWidth="1"/>
    <col min="10246" max="10246" width="35" style="36" customWidth="1"/>
    <col min="10247" max="10250" width="9.140625" style="36"/>
    <col min="10251" max="10251" width="30.7109375" style="36" customWidth="1"/>
    <col min="10252" max="10495" width="9.140625" style="36"/>
    <col min="10496" max="10496" width="39.28515625" style="36" customWidth="1"/>
    <col min="10497" max="10500" width="9.140625" style="36"/>
    <col min="10501" max="10501" width="8.7109375" style="36" customWidth="1"/>
    <col min="10502" max="10502" width="35" style="36" customWidth="1"/>
    <col min="10503" max="10506" width="9.140625" style="36"/>
    <col min="10507" max="10507" width="30.7109375" style="36" customWidth="1"/>
    <col min="10508" max="10751" width="9.140625" style="36"/>
    <col min="10752" max="10752" width="39.28515625" style="36" customWidth="1"/>
    <col min="10753" max="10756" width="9.140625" style="36"/>
    <col min="10757" max="10757" width="8.7109375" style="36" customWidth="1"/>
    <col min="10758" max="10758" width="35" style="36" customWidth="1"/>
    <col min="10759" max="10762" width="9.140625" style="36"/>
    <col min="10763" max="10763" width="30.7109375" style="36" customWidth="1"/>
    <col min="10764" max="11007" width="9.140625" style="36"/>
    <col min="11008" max="11008" width="39.28515625" style="36" customWidth="1"/>
    <col min="11009" max="11012" width="9.140625" style="36"/>
    <col min="11013" max="11013" width="8.7109375" style="36" customWidth="1"/>
    <col min="11014" max="11014" width="35" style="36" customWidth="1"/>
    <col min="11015" max="11018" width="9.140625" style="36"/>
    <col min="11019" max="11019" width="30.7109375" style="36" customWidth="1"/>
    <col min="11020" max="11263" width="9.140625" style="36"/>
    <col min="11264" max="11264" width="39.28515625" style="36" customWidth="1"/>
    <col min="11265" max="11268" width="9.140625" style="36"/>
    <col min="11269" max="11269" width="8.7109375" style="36" customWidth="1"/>
    <col min="11270" max="11270" width="35" style="36" customWidth="1"/>
    <col min="11271" max="11274" width="9.140625" style="36"/>
    <col min="11275" max="11275" width="30.7109375" style="36" customWidth="1"/>
    <col min="11276" max="11519" width="9.140625" style="36"/>
    <col min="11520" max="11520" width="39.28515625" style="36" customWidth="1"/>
    <col min="11521" max="11524" width="9.140625" style="36"/>
    <col min="11525" max="11525" width="8.7109375" style="36" customWidth="1"/>
    <col min="11526" max="11526" width="35" style="36" customWidth="1"/>
    <col min="11527" max="11530" width="9.140625" style="36"/>
    <col min="11531" max="11531" width="30.7109375" style="36" customWidth="1"/>
    <col min="11532" max="11775" width="9.140625" style="36"/>
    <col min="11776" max="11776" width="39.28515625" style="36" customWidth="1"/>
    <col min="11777" max="11780" width="9.140625" style="36"/>
    <col min="11781" max="11781" width="8.7109375" style="36" customWidth="1"/>
    <col min="11782" max="11782" width="35" style="36" customWidth="1"/>
    <col min="11783" max="11786" width="9.140625" style="36"/>
    <col min="11787" max="11787" width="30.7109375" style="36" customWidth="1"/>
    <col min="11788" max="12031" width="9.140625" style="36"/>
    <col min="12032" max="12032" width="39.28515625" style="36" customWidth="1"/>
    <col min="12033" max="12036" width="9.140625" style="36"/>
    <col min="12037" max="12037" width="8.7109375" style="36" customWidth="1"/>
    <col min="12038" max="12038" width="35" style="36" customWidth="1"/>
    <col min="12039" max="12042" width="9.140625" style="36"/>
    <col min="12043" max="12043" width="30.7109375" style="36" customWidth="1"/>
    <col min="12044" max="12287" width="9.140625" style="36"/>
    <col min="12288" max="12288" width="39.28515625" style="36" customWidth="1"/>
    <col min="12289" max="12292" width="9.140625" style="36"/>
    <col min="12293" max="12293" width="8.7109375" style="36" customWidth="1"/>
    <col min="12294" max="12294" width="35" style="36" customWidth="1"/>
    <col min="12295" max="12298" width="9.140625" style="36"/>
    <col min="12299" max="12299" width="30.7109375" style="36" customWidth="1"/>
    <col min="12300" max="12543" width="9.140625" style="36"/>
    <col min="12544" max="12544" width="39.28515625" style="36" customWidth="1"/>
    <col min="12545" max="12548" width="9.140625" style="36"/>
    <col min="12549" max="12549" width="8.7109375" style="36" customWidth="1"/>
    <col min="12550" max="12550" width="35" style="36" customWidth="1"/>
    <col min="12551" max="12554" width="9.140625" style="36"/>
    <col min="12555" max="12555" width="30.7109375" style="36" customWidth="1"/>
    <col min="12556" max="12799" width="9.140625" style="36"/>
    <col min="12800" max="12800" width="39.28515625" style="36" customWidth="1"/>
    <col min="12801" max="12804" width="9.140625" style="36"/>
    <col min="12805" max="12805" width="8.7109375" style="36" customWidth="1"/>
    <col min="12806" max="12806" width="35" style="36" customWidth="1"/>
    <col min="12807" max="12810" width="9.140625" style="36"/>
    <col min="12811" max="12811" width="30.7109375" style="36" customWidth="1"/>
    <col min="12812" max="13055" width="9.140625" style="36"/>
    <col min="13056" max="13056" width="39.28515625" style="36" customWidth="1"/>
    <col min="13057" max="13060" width="9.140625" style="36"/>
    <col min="13061" max="13061" width="8.7109375" style="36" customWidth="1"/>
    <col min="13062" max="13062" width="35" style="36" customWidth="1"/>
    <col min="13063" max="13066" width="9.140625" style="36"/>
    <col min="13067" max="13067" width="30.7109375" style="36" customWidth="1"/>
    <col min="13068" max="13311" width="9.140625" style="36"/>
    <col min="13312" max="13312" width="39.28515625" style="36" customWidth="1"/>
    <col min="13313" max="13316" width="9.140625" style="36"/>
    <col min="13317" max="13317" width="8.7109375" style="36" customWidth="1"/>
    <col min="13318" max="13318" width="35" style="36" customWidth="1"/>
    <col min="13319" max="13322" width="9.140625" style="36"/>
    <col min="13323" max="13323" width="30.7109375" style="36" customWidth="1"/>
    <col min="13324" max="13567" width="9.140625" style="36"/>
    <col min="13568" max="13568" width="39.28515625" style="36" customWidth="1"/>
    <col min="13569" max="13572" width="9.140625" style="36"/>
    <col min="13573" max="13573" width="8.7109375" style="36" customWidth="1"/>
    <col min="13574" max="13574" width="35" style="36" customWidth="1"/>
    <col min="13575" max="13578" width="9.140625" style="36"/>
    <col min="13579" max="13579" width="30.7109375" style="36" customWidth="1"/>
    <col min="13580" max="13823" width="9.140625" style="36"/>
    <col min="13824" max="13824" width="39.28515625" style="36" customWidth="1"/>
    <col min="13825" max="13828" width="9.140625" style="36"/>
    <col min="13829" max="13829" width="8.7109375" style="36" customWidth="1"/>
    <col min="13830" max="13830" width="35" style="36" customWidth="1"/>
    <col min="13831" max="13834" width="9.140625" style="36"/>
    <col min="13835" max="13835" width="30.7109375" style="36" customWidth="1"/>
    <col min="13836" max="14079" width="9.140625" style="36"/>
    <col min="14080" max="14080" width="39.28515625" style="36" customWidth="1"/>
    <col min="14081" max="14084" width="9.140625" style="36"/>
    <col min="14085" max="14085" width="8.7109375" style="36" customWidth="1"/>
    <col min="14086" max="14086" width="35" style="36" customWidth="1"/>
    <col min="14087" max="14090" width="9.140625" style="36"/>
    <col min="14091" max="14091" width="30.7109375" style="36" customWidth="1"/>
    <col min="14092" max="14335" width="9.140625" style="36"/>
    <col min="14336" max="14336" width="39.28515625" style="36" customWidth="1"/>
    <col min="14337" max="14340" width="9.140625" style="36"/>
    <col min="14341" max="14341" width="8.7109375" style="36" customWidth="1"/>
    <col min="14342" max="14342" width="35" style="36" customWidth="1"/>
    <col min="14343" max="14346" width="9.140625" style="36"/>
    <col min="14347" max="14347" width="30.7109375" style="36" customWidth="1"/>
    <col min="14348" max="14591" width="9.140625" style="36"/>
    <col min="14592" max="14592" width="39.28515625" style="36" customWidth="1"/>
    <col min="14593" max="14596" width="9.140625" style="36"/>
    <col min="14597" max="14597" width="8.7109375" style="36" customWidth="1"/>
    <col min="14598" max="14598" width="35" style="36" customWidth="1"/>
    <col min="14599" max="14602" width="9.140625" style="36"/>
    <col min="14603" max="14603" width="30.7109375" style="36" customWidth="1"/>
    <col min="14604" max="14847" width="9.140625" style="36"/>
    <col min="14848" max="14848" width="39.28515625" style="36" customWidth="1"/>
    <col min="14849" max="14852" width="9.140625" style="36"/>
    <col min="14853" max="14853" width="8.7109375" style="36" customWidth="1"/>
    <col min="14854" max="14854" width="35" style="36" customWidth="1"/>
    <col min="14855" max="14858" width="9.140625" style="36"/>
    <col min="14859" max="14859" width="30.7109375" style="36" customWidth="1"/>
    <col min="14860" max="15103" width="9.140625" style="36"/>
    <col min="15104" max="15104" width="39.28515625" style="36" customWidth="1"/>
    <col min="15105" max="15108" width="9.140625" style="36"/>
    <col min="15109" max="15109" width="8.7109375" style="36" customWidth="1"/>
    <col min="15110" max="15110" width="35" style="36" customWidth="1"/>
    <col min="15111" max="15114" width="9.140625" style="36"/>
    <col min="15115" max="15115" width="30.7109375" style="36" customWidth="1"/>
    <col min="15116" max="15359" width="9.140625" style="36"/>
    <col min="15360" max="15360" width="39.28515625" style="36" customWidth="1"/>
    <col min="15361" max="15364" width="9.140625" style="36"/>
    <col min="15365" max="15365" width="8.7109375" style="36" customWidth="1"/>
    <col min="15366" max="15366" width="35" style="36" customWidth="1"/>
    <col min="15367" max="15370" width="9.140625" style="36"/>
    <col min="15371" max="15371" width="30.7109375" style="36" customWidth="1"/>
    <col min="15372" max="15615" width="9.140625" style="36"/>
    <col min="15616" max="15616" width="39.28515625" style="36" customWidth="1"/>
    <col min="15617" max="15620" width="9.140625" style="36"/>
    <col min="15621" max="15621" width="8.7109375" style="36" customWidth="1"/>
    <col min="15622" max="15622" width="35" style="36" customWidth="1"/>
    <col min="15623" max="15626" width="9.140625" style="36"/>
    <col min="15627" max="15627" width="30.7109375" style="36" customWidth="1"/>
    <col min="15628" max="15871" width="9.140625" style="36"/>
    <col min="15872" max="15872" width="39.28515625" style="36" customWidth="1"/>
    <col min="15873" max="15876" width="9.140625" style="36"/>
    <col min="15877" max="15877" width="8.7109375" style="36" customWidth="1"/>
    <col min="15878" max="15878" width="35" style="36" customWidth="1"/>
    <col min="15879" max="15882" width="9.140625" style="36"/>
    <col min="15883" max="15883" width="30.7109375" style="36" customWidth="1"/>
    <col min="15884" max="16127" width="9.140625" style="36"/>
    <col min="16128" max="16128" width="39.28515625" style="36" customWidth="1"/>
    <col min="16129" max="16132" width="9.140625" style="36"/>
    <col min="16133" max="16133" width="8.7109375" style="36" customWidth="1"/>
    <col min="16134" max="16134" width="35" style="36" customWidth="1"/>
    <col min="16135" max="16138" width="9.140625" style="36"/>
    <col min="16139" max="16139" width="30.7109375" style="36" customWidth="1"/>
    <col min="16140" max="16384" width="9.140625" style="36"/>
  </cols>
  <sheetData>
    <row r="1" spans="1:20" ht="31.9" customHeight="1" x14ac:dyDescent="0.25">
      <c r="A1" s="280" t="s">
        <v>1316</v>
      </c>
      <c r="B1" s="280"/>
      <c r="C1" s="280"/>
      <c r="D1" s="280"/>
      <c r="E1" s="280"/>
      <c r="F1" s="280"/>
      <c r="G1" s="280"/>
      <c r="H1" s="280"/>
      <c r="I1" s="280"/>
      <c r="J1" s="280"/>
      <c r="K1" s="280"/>
      <c r="L1" s="280"/>
      <c r="M1" s="280"/>
      <c r="N1" s="280"/>
      <c r="O1" s="280"/>
      <c r="P1" s="280"/>
      <c r="Q1" s="280"/>
      <c r="R1" s="280"/>
      <c r="S1" s="280"/>
    </row>
    <row r="2" spans="1:20" ht="24" customHeight="1" x14ac:dyDescent="0.25">
      <c r="A2" s="83"/>
      <c r="B2" s="83"/>
      <c r="C2" s="83"/>
      <c r="D2" s="83"/>
      <c r="E2" s="83"/>
      <c r="F2" s="83"/>
      <c r="G2" s="281" t="s">
        <v>962</v>
      </c>
      <c r="H2" s="281"/>
      <c r="I2" s="281"/>
      <c r="J2" s="281"/>
      <c r="K2" s="281"/>
      <c r="L2" s="281"/>
      <c r="M2" s="281"/>
      <c r="N2" s="281"/>
      <c r="O2" s="281"/>
      <c r="P2" s="281"/>
      <c r="Q2" s="83"/>
      <c r="R2" s="347" t="s">
        <v>85</v>
      </c>
      <c r="S2" s="347"/>
    </row>
    <row r="3" spans="1:20" ht="40.9" hidden="1" customHeight="1" x14ac:dyDescent="0.25">
      <c r="A3" s="84" t="s">
        <v>0</v>
      </c>
      <c r="B3" s="348" t="s">
        <v>1115</v>
      </c>
      <c r="C3" s="348"/>
      <c r="D3" s="348"/>
      <c r="E3" s="348"/>
      <c r="F3" s="84" t="s">
        <v>0</v>
      </c>
      <c r="G3" s="282" t="s">
        <v>1116</v>
      </c>
      <c r="H3" s="282"/>
      <c r="I3" s="282"/>
      <c r="J3" s="282"/>
      <c r="K3" s="98"/>
      <c r="L3" s="98"/>
      <c r="M3" s="98"/>
      <c r="N3" s="98"/>
      <c r="O3" s="98"/>
      <c r="P3" s="174" t="s">
        <v>1117</v>
      </c>
      <c r="Q3" s="175"/>
      <c r="R3" s="175"/>
      <c r="S3" s="349" t="s">
        <v>86</v>
      </c>
      <c r="T3" s="15"/>
    </row>
    <row r="4" spans="1:20" ht="23.45" customHeight="1" x14ac:dyDescent="0.25">
      <c r="A4" s="349" t="s">
        <v>0</v>
      </c>
      <c r="B4" s="282" t="s">
        <v>1</v>
      </c>
      <c r="C4" s="352" t="s">
        <v>2</v>
      </c>
      <c r="D4" s="352"/>
      <c r="E4" s="352"/>
      <c r="F4" s="349" t="s">
        <v>0</v>
      </c>
      <c r="G4" s="282" t="s">
        <v>1</v>
      </c>
      <c r="H4" s="352" t="s">
        <v>1135</v>
      </c>
      <c r="I4" s="352"/>
      <c r="J4" s="352"/>
      <c r="K4" s="282" t="s">
        <v>768</v>
      </c>
      <c r="L4" s="98"/>
      <c r="M4" s="98"/>
      <c r="N4" s="98"/>
      <c r="O4" s="98"/>
      <c r="P4" s="353" t="s">
        <v>1118</v>
      </c>
      <c r="Q4" s="175"/>
      <c r="R4" s="175"/>
      <c r="S4" s="350"/>
    </row>
    <row r="5" spans="1:20" ht="21.75" customHeight="1" x14ac:dyDescent="0.25">
      <c r="A5" s="351"/>
      <c r="B5" s="282"/>
      <c r="C5" s="82" t="s">
        <v>6</v>
      </c>
      <c r="D5" s="82" t="s">
        <v>3</v>
      </c>
      <c r="E5" s="82" t="s">
        <v>7</v>
      </c>
      <c r="F5" s="351"/>
      <c r="G5" s="282"/>
      <c r="H5" s="177" t="s">
        <v>6</v>
      </c>
      <c r="I5" s="177" t="s">
        <v>3</v>
      </c>
      <c r="J5" s="177" t="s">
        <v>7</v>
      </c>
      <c r="K5" s="282"/>
      <c r="L5" s="98"/>
      <c r="M5" s="98"/>
      <c r="N5" s="98"/>
      <c r="O5" s="98"/>
      <c r="P5" s="354"/>
      <c r="Q5" s="177" t="s">
        <v>3</v>
      </c>
      <c r="R5" s="177" t="s">
        <v>7</v>
      </c>
      <c r="S5" s="351"/>
    </row>
    <row r="6" spans="1:20" ht="43.15" hidden="1" customHeight="1" x14ac:dyDescent="0.25">
      <c r="A6" s="291" t="s">
        <v>1115</v>
      </c>
      <c r="B6" s="292"/>
      <c r="C6" s="292"/>
      <c r="D6" s="292"/>
      <c r="E6" s="293"/>
      <c r="F6" s="176"/>
      <c r="G6" s="291" t="s">
        <v>996</v>
      </c>
      <c r="H6" s="292"/>
      <c r="I6" s="292"/>
      <c r="J6" s="293"/>
      <c r="K6" s="176"/>
      <c r="L6" s="67"/>
      <c r="M6" s="67"/>
      <c r="N6" s="67"/>
      <c r="O6" s="67"/>
      <c r="P6" s="178"/>
      <c r="Q6" s="179"/>
      <c r="R6" s="179"/>
      <c r="S6" s="176"/>
    </row>
    <row r="7" spans="1:20" s="35" customFormat="1" ht="23.25" customHeight="1" x14ac:dyDescent="0.25">
      <c r="A7" s="176" t="s">
        <v>9</v>
      </c>
      <c r="B7" s="180" t="s">
        <v>769</v>
      </c>
      <c r="C7" s="181"/>
      <c r="D7" s="181"/>
      <c r="E7" s="182"/>
      <c r="F7" s="176" t="s">
        <v>9</v>
      </c>
      <c r="G7" s="180" t="s">
        <v>769</v>
      </c>
      <c r="H7" s="183"/>
      <c r="I7" s="183"/>
      <c r="J7" s="184"/>
      <c r="K7" s="185"/>
      <c r="L7" s="186"/>
      <c r="M7" s="186"/>
      <c r="N7" s="186"/>
      <c r="O7" s="186"/>
      <c r="P7" s="187"/>
      <c r="Q7" s="188"/>
      <c r="R7" s="188"/>
      <c r="S7" s="188"/>
    </row>
    <row r="8" spans="1:20" ht="53.45" customHeight="1" x14ac:dyDescent="0.25">
      <c r="A8" s="65">
        <v>1</v>
      </c>
      <c r="B8" s="90" t="s">
        <v>770</v>
      </c>
      <c r="C8" s="57">
        <v>150</v>
      </c>
      <c r="D8" s="189">
        <v>100</v>
      </c>
      <c r="E8" s="57">
        <v>70</v>
      </c>
      <c r="F8" s="65">
        <v>1</v>
      </c>
      <c r="G8" s="90" t="s">
        <v>770</v>
      </c>
      <c r="H8" s="190">
        <f>C8*1.1</f>
        <v>165</v>
      </c>
      <c r="I8" s="190">
        <f t="shared" ref="I8:J10" si="0">D8*1.1</f>
        <v>110.00000000000001</v>
      </c>
      <c r="J8" s="190">
        <f t="shared" si="0"/>
        <v>77</v>
      </c>
      <c r="K8" s="61" t="s">
        <v>1119</v>
      </c>
      <c r="L8" s="67"/>
      <c r="M8" s="67"/>
      <c r="N8" s="67"/>
      <c r="O8" s="67"/>
      <c r="P8" s="191">
        <f>H8/C8</f>
        <v>1.1000000000000001</v>
      </c>
      <c r="Q8" s="61">
        <f t="shared" ref="Q8:R23" si="1">(I8/D8)*100-100</f>
        <v>10.000000000000014</v>
      </c>
      <c r="R8" s="61">
        <f t="shared" si="1"/>
        <v>10.000000000000014</v>
      </c>
      <c r="S8" s="61" t="s">
        <v>1120</v>
      </c>
    </row>
    <row r="9" spans="1:20" ht="34.9" customHeight="1" x14ac:dyDescent="0.25">
      <c r="A9" s="65">
        <v>2</v>
      </c>
      <c r="B9" s="90" t="s">
        <v>771</v>
      </c>
      <c r="C9" s="57">
        <v>220</v>
      </c>
      <c r="D9" s="189">
        <v>120</v>
      </c>
      <c r="E9" s="57">
        <v>80</v>
      </c>
      <c r="F9" s="65">
        <v>2</v>
      </c>
      <c r="G9" s="90" t="s">
        <v>771</v>
      </c>
      <c r="H9" s="190">
        <f>C9*1.1</f>
        <v>242.00000000000003</v>
      </c>
      <c r="I9" s="190">
        <f t="shared" si="0"/>
        <v>132</v>
      </c>
      <c r="J9" s="190">
        <f t="shared" si="0"/>
        <v>88</v>
      </c>
      <c r="K9" s="61" t="s">
        <v>1119</v>
      </c>
      <c r="L9" s="67"/>
      <c r="M9" s="67"/>
      <c r="N9" s="67"/>
      <c r="O9" s="67"/>
      <c r="P9" s="191">
        <f t="shared" ref="P9:P64" si="2">H9/C9</f>
        <v>1.1000000000000001</v>
      </c>
      <c r="Q9" s="61">
        <f t="shared" si="1"/>
        <v>10.000000000000014</v>
      </c>
      <c r="R9" s="61">
        <f t="shared" si="1"/>
        <v>10.000000000000014</v>
      </c>
      <c r="S9" s="61" t="s">
        <v>1120</v>
      </c>
    </row>
    <row r="10" spans="1:20" s="35" customFormat="1" ht="30.75" customHeight="1" x14ac:dyDescent="0.25">
      <c r="A10" s="65">
        <v>3</v>
      </c>
      <c r="B10" s="90" t="s">
        <v>772</v>
      </c>
      <c r="C10" s="97">
        <v>90</v>
      </c>
      <c r="D10" s="189">
        <v>70</v>
      </c>
      <c r="E10" s="57">
        <v>60</v>
      </c>
      <c r="F10" s="65">
        <v>3</v>
      </c>
      <c r="G10" s="90" t="s">
        <v>772</v>
      </c>
      <c r="H10" s="190">
        <f>C10*1.1</f>
        <v>99.000000000000014</v>
      </c>
      <c r="I10" s="190">
        <f t="shared" si="0"/>
        <v>77</v>
      </c>
      <c r="J10" s="190">
        <f t="shared" si="0"/>
        <v>66</v>
      </c>
      <c r="K10" s="61" t="s">
        <v>1119</v>
      </c>
      <c r="L10" s="186"/>
      <c r="M10" s="186"/>
      <c r="N10" s="186"/>
      <c r="O10" s="186"/>
      <c r="P10" s="191">
        <f t="shared" si="2"/>
        <v>1.1000000000000001</v>
      </c>
      <c r="Q10" s="61">
        <f t="shared" si="1"/>
        <v>10.000000000000014</v>
      </c>
      <c r="R10" s="61">
        <f t="shared" si="1"/>
        <v>10.000000000000014</v>
      </c>
      <c r="S10" s="61" t="s">
        <v>1120</v>
      </c>
    </row>
    <row r="11" spans="1:20" ht="31.5" customHeight="1" x14ac:dyDescent="0.25">
      <c r="A11" s="82" t="s">
        <v>39</v>
      </c>
      <c r="B11" s="84" t="s">
        <v>773</v>
      </c>
      <c r="C11" s="98"/>
      <c r="D11" s="189"/>
      <c r="E11" s="57"/>
      <c r="F11" s="82" t="s">
        <v>39</v>
      </c>
      <c r="G11" s="84" t="s">
        <v>773</v>
      </c>
      <c r="H11" s="190"/>
      <c r="I11" s="190"/>
      <c r="J11" s="190"/>
      <c r="K11" s="98"/>
      <c r="L11" s="67"/>
      <c r="M11" s="67"/>
      <c r="N11" s="67"/>
      <c r="O11" s="67"/>
      <c r="P11" s="191"/>
      <c r="Q11" s="61"/>
      <c r="R11" s="61"/>
      <c r="S11" s="61"/>
    </row>
    <row r="12" spans="1:20" s="35" customFormat="1" ht="41.45" customHeight="1" x14ac:dyDescent="0.25">
      <c r="A12" s="65">
        <v>1</v>
      </c>
      <c r="B12" s="90" t="s">
        <v>774</v>
      </c>
      <c r="C12" s="57">
        <v>220</v>
      </c>
      <c r="D12" s="189">
        <v>120</v>
      </c>
      <c r="E12" s="57">
        <v>80</v>
      </c>
      <c r="F12" s="65">
        <v>1</v>
      </c>
      <c r="G12" s="90" t="s">
        <v>774</v>
      </c>
      <c r="H12" s="190">
        <f>C12*1.1</f>
        <v>242.00000000000003</v>
      </c>
      <c r="I12" s="190">
        <f t="shared" ref="I12:J14" si="3">D12*1.1</f>
        <v>132</v>
      </c>
      <c r="J12" s="190">
        <f t="shared" si="3"/>
        <v>88</v>
      </c>
      <c r="K12" s="61" t="s">
        <v>1119</v>
      </c>
      <c r="L12" s="186"/>
      <c r="M12" s="186"/>
      <c r="N12" s="186"/>
      <c r="O12" s="186"/>
      <c r="P12" s="191">
        <f t="shared" si="2"/>
        <v>1.1000000000000001</v>
      </c>
      <c r="Q12" s="61">
        <f t="shared" si="1"/>
        <v>10.000000000000014</v>
      </c>
      <c r="R12" s="61">
        <f t="shared" si="1"/>
        <v>10.000000000000014</v>
      </c>
      <c r="S12" s="61" t="s">
        <v>1120</v>
      </c>
    </row>
    <row r="13" spans="1:20" ht="43.9" customHeight="1" x14ac:dyDescent="0.25">
      <c r="A13" s="65">
        <v>2</v>
      </c>
      <c r="B13" s="90" t="s">
        <v>775</v>
      </c>
      <c r="C13" s="57">
        <v>200</v>
      </c>
      <c r="D13" s="192">
        <v>115</v>
      </c>
      <c r="E13" s="192">
        <v>75</v>
      </c>
      <c r="F13" s="65">
        <v>2</v>
      </c>
      <c r="G13" s="90" t="s">
        <v>775</v>
      </c>
      <c r="H13" s="190">
        <f>C13*1.1</f>
        <v>220.00000000000003</v>
      </c>
      <c r="I13" s="190">
        <f>H13*L13</f>
        <v>126.5</v>
      </c>
      <c r="J13" s="190">
        <f>H13*M13</f>
        <v>82.500000000000014</v>
      </c>
      <c r="K13" s="62" t="s">
        <v>1121</v>
      </c>
      <c r="L13" s="67">
        <f>D13/C13</f>
        <v>0.57499999999999996</v>
      </c>
      <c r="M13" s="67">
        <f>E13/C13</f>
        <v>0.375</v>
      </c>
      <c r="N13" s="67"/>
      <c r="O13" s="67"/>
      <c r="P13" s="191">
        <f t="shared" si="2"/>
        <v>1.1000000000000001</v>
      </c>
      <c r="Q13" s="61">
        <f t="shared" si="1"/>
        <v>10.000000000000014</v>
      </c>
      <c r="R13" s="61">
        <f t="shared" si="1"/>
        <v>10.000000000000014</v>
      </c>
      <c r="S13" s="61" t="s">
        <v>1122</v>
      </c>
    </row>
    <row r="14" spans="1:20" ht="34.5" customHeight="1" x14ac:dyDescent="0.25">
      <c r="A14" s="65">
        <v>3</v>
      </c>
      <c r="B14" s="90" t="s">
        <v>772</v>
      </c>
      <c r="C14" s="97">
        <v>90</v>
      </c>
      <c r="D14" s="189">
        <v>70</v>
      </c>
      <c r="E14" s="57">
        <v>60</v>
      </c>
      <c r="F14" s="65">
        <v>3</v>
      </c>
      <c r="G14" s="90" t="s">
        <v>772</v>
      </c>
      <c r="H14" s="190">
        <f>C14*1.1</f>
        <v>99.000000000000014</v>
      </c>
      <c r="I14" s="190">
        <f t="shared" si="3"/>
        <v>77</v>
      </c>
      <c r="J14" s="190">
        <f t="shared" si="3"/>
        <v>66</v>
      </c>
      <c r="K14" s="61" t="s">
        <v>1119</v>
      </c>
      <c r="L14" s="67"/>
      <c r="M14" s="67"/>
      <c r="N14" s="67"/>
      <c r="O14" s="67"/>
      <c r="P14" s="191">
        <f t="shared" si="2"/>
        <v>1.1000000000000001</v>
      </c>
      <c r="Q14" s="61">
        <f t="shared" si="1"/>
        <v>10.000000000000014</v>
      </c>
      <c r="R14" s="61">
        <f t="shared" si="1"/>
        <v>10.000000000000014</v>
      </c>
      <c r="S14" s="61" t="s">
        <v>1120</v>
      </c>
    </row>
    <row r="15" spans="1:20" ht="33" customHeight="1" x14ac:dyDescent="0.25">
      <c r="A15" s="82" t="s">
        <v>54</v>
      </c>
      <c r="B15" s="84" t="s">
        <v>776</v>
      </c>
      <c r="C15" s="189"/>
      <c r="D15" s="189"/>
      <c r="E15" s="57"/>
      <c r="F15" s="82" t="s">
        <v>54</v>
      </c>
      <c r="G15" s="84" t="s">
        <v>776</v>
      </c>
      <c r="H15" s="190"/>
      <c r="I15" s="190"/>
      <c r="J15" s="190"/>
      <c r="K15" s="98"/>
      <c r="L15" s="67"/>
      <c r="M15" s="67"/>
      <c r="N15" s="67"/>
      <c r="O15" s="67"/>
      <c r="P15" s="191"/>
      <c r="Q15" s="61"/>
      <c r="R15" s="61"/>
      <c r="S15" s="61"/>
    </row>
    <row r="16" spans="1:20" ht="53.45" customHeight="1" x14ac:dyDescent="0.25">
      <c r="A16" s="65">
        <v>1</v>
      </c>
      <c r="B16" s="90" t="s">
        <v>777</v>
      </c>
      <c r="C16" s="57">
        <v>220</v>
      </c>
      <c r="D16" s="189">
        <v>120</v>
      </c>
      <c r="E16" s="57">
        <v>80</v>
      </c>
      <c r="F16" s="65">
        <v>1</v>
      </c>
      <c r="G16" s="90" t="s">
        <v>777</v>
      </c>
      <c r="H16" s="190">
        <f>C16*1.1</f>
        <v>242.00000000000003</v>
      </c>
      <c r="I16" s="190">
        <f t="shared" ref="I16:J19" si="4">D16*1.1</f>
        <v>132</v>
      </c>
      <c r="J16" s="190">
        <f t="shared" si="4"/>
        <v>88</v>
      </c>
      <c r="K16" s="61" t="s">
        <v>1119</v>
      </c>
      <c r="L16" s="67"/>
      <c r="M16" s="67"/>
      <c r="N16" s="67"/>
      <c r="O16" s="67"/>
      <c r="P16" s="191">
        <f t="shared" si="2"/>
        <v>1.1000000000000001</v>
      </c>
      <c r="Q16" s="61">
        <f t="shared" si="1"/>
        <v>10.000000000000014</v>
      </c>
      <c r="R16" s="61">
        <f t="shared" si="1"/>
        <v>10.000000000000014</v>
      </c>
      <c r="S16" s="61" t="s">
        <v>1120</v>
      </c>
    </row>
    <row r="17" spans="1:19" s="35" customFormat="1" ht="48" customHeight="1" x14ac:dyDescent="0.25">
      <c r="A17" s="65">
        <v>2</v>
      </c>
      <c r="B17" s="90" t="s">
        <v>778</v>
      </c>
      <c r="C17" s="57">
        <v>200</v>
      </c>
      <c r="D17" s="192">
        <v>115</v>
      </c>
      <c r="E17" s="192">
        <v>75</v>
      </c>
      <c r="F17" s="65">
        <v>2</v>
      </c>
      <c r="G17" s="90" t="s">
        <v>778</v>
      </c>
      <c r="H17" s="190">
        <f>C17*1.1</f>
        <v>220.00000000000003</v>
      </c>
      <c r="I17" s="190">
        <f t="shared" si="4"/>
        <v>126.50000000000001</v>
      </c>
      <c r="J17" s="190">
        <f t="shared" si="4"/>
        <v>82.5</v>
      </c>
      <c r="K17" s="61" t="s">
        <v>1119</v>
      </c>
      <c r="L17" s="186"/>
      <c r="M17" s="186"/>
      <c r="N17" s="186"/>
      <c r="O17" s="186"/>
      <c r="P17" s="191">
        <f t="shared" si="2"/>
        <v>1.1000000000000001</v>
      </c>
      <c r="Q17" s="61">
        <f t="shared" si="1"/>
        <v>10.000000000000014</v>
      </c>
      <c r="R17" s="61">
        <f t="shared" si="1"/>
        <v>10.000000000000014</v>
      </c>
      <c r="S17" s="61" t="s">
        <v>1120</v>
      </c>
    </row>
    <row r="18" spans="1:19" ht="42.6" customHeight="1" x14ac:dyDescent="0.25">
      <c r="A18" s="65">
        <v>3</v>
      </c>
      <c r="B18" s="90" t="s">
        <v>779</v>
      </c>
      <c r="C18" s="57">
        <v>140</v>
      </c>
      <c r="D18" s="189">
        <v>90</v>
      </c>
      <c r="E18" s="57">
        <v>70</v>
      </c>
      <c r="F18" s="65">
        <v>3</v>
      </c>
      <c r="G18" s="90" t="s">
        <v>779</v>
      </c>
      <c r="H18" s="190">
        <f>C18*1.1</f>
        <v>154</v>
      </c>
      <c r="I18" s="190">
        <f t="shared" si="4"/>
        <v>99.000000000000014</v>
      </c>
      <c r="J18" s="190">
        <f t="shared" si="4"/>
        <v>77</v>
      </c>
      <c r="K18" s="61" t="s">
        <v>1119</v>
      </c>
      <c r="L18" s="67"/>
      <c r="M18" s="67"/>
      <c r="N18" s="67"/>
      <c r="O18" s="67"/>
      <c r="P18" s="191">
        <f t="shared" si="2"/>
        <v>1.1000000000000001</v>
      </c>
      <c r="Q18" s="61">
        <f t="shared" si="1"/>
        <v>10.000000000000014</v>
      </c>
      <c r="R18" s="61">
        <f t="shared" si="1"/>
        <v>10.000000000000014</v>
      </c>
      <c r="S18" s="61" t="s">
        <v>1120</v>
      </c>
    </row>
    <row r="19" spans="1:19" ht="36.75" customHeight="1" x14ac:dyDescent="0.25">
      <c r="A19" s="65">
        <v>4</v>
      </c>
      <c r="B19" s="90" t="s">
        <v>772</v>
      </c>
      <c r="C19" s="97">
        <v>90</v>
      </c>
      <c r="D19" s="189">
        <v>70</v>
      </c>
      <c r="E19" s="57">
        <v>60</v>
      </c>
      <c r="F19" s="65">
        <v>4</v>
      </c>
      <c r="G19" s="90" t="s">
        <v>772</v>
      </c>
      <c r="H19" s="190">
        <f>C19*1.1</f>
        <v>99.000000000000014</v>
      </c>
      <c r="I19" s="190">
        <f t="shared" si="4"/>
        <v>77</v>
      </c>
      <c r="J19" s="190">
        <f t="shared" si="4"/>
        <v>66</v>
      </c>
      <c r="K19" s="61" t="s">
        <v>1119</v>
      </c>
      <c r="L19" s="67"/>
      <c r="M19" s="67"/>
      <c r="N19" s="67"/>
      <c r="O19" s="67"/>
      <c r="P19" s="191">
        <f t="shared" si="2"/>
        <v>1.1000000000000001</v>
      </c>
      <c r="Q19" s="61">
        <f t="shared" si="1"/>
        <v>10.000000000000014</v>
      </c>
      <c r="R19" s="61">
        <f t="shared" si="1"/>
        <v>10.000000000000014</v>
      </c>
      <c r="S19" s="61" t="s">
        <v>1120</v>
      </c>
    </row>
    <row r="20" spans="1:19" s="35" customFormat="1" ht="36.75" customHeight="1" x14ac:dyDescent="0.25">
      <c r="A20" s="82" t="s">
        <v>64</v>
      </c>
      <c r="B20" s="84" t="s">
        <v>780</v>
      </c>
      <c r="C20" s="97"/>
      <c r="D20" s="189"/>
      <c r="E20" s="57"/>
      <c r="F20" s="82" t="s">
        <v>64</v>
      </c>
      <c r="G20" s="84" t="s">
        <v>780</v>
      </c>
      <c r="H20" s="190"/>
      <c r="I20" s="190"/>
      <c r="J20" s="190"/>
      <c r="K20" s="193"/>
      <c r="L20" s="186"/>
      <c r="M20" s="186"/>
      <c r="N20" s="186"/>
      <c r="O20" s="186"/>
      <c r="P20" s="191"/>
      <c r="Q20" s="61"/>
      <c r="R20" s="61"/>
      <c r="S20" s="71"/>
    </row>
    <row r="21" spans="1:19" ht="39.6" customHeight="1" x14ac:dyDescent="0.25">
      <c r="A21" s="65">
        <v>1</v>
      </c>
      <c r="B21" s="90" t="s">
        <v>781</v>
      </c>
      <c r="C21" s="57">
        <v>170</v>
      </c>
      <c r="D21" s="189">
        <v>100</v>
      </c>
      <c r="E21" s="57">
        <v>75</v>
      </c>
      <c r="F21" s="65">
        <v>1</v>
      </c>
      <c r="G21" s="90" t="s">
        <v>781</v>
      </c>
      <c r="H21" s="190">
        <f>C21*1.1</f>
        <v>187.00000000000003</v>
      </c>
      <c r="I21" s="190">
        <f t="shared" ref="I21:J25" si="5">D21*1.1</f>
        <v>110.00000000000001</v>
      </c>
      <c r="J21" s="190">
        <f t="shared" si="5"/>
        <v>82.5</v>
      </c>
      <c r="K21" s="61" t="s">
        <v>1119</v>
      </c>
      <c r="L21" s="67"/>
      <c r="M21" s="67"/>
      <c r="N21" s="67"/>
      <c r="O21" s="67"/>
      <c r="P21" s="191">
        <f t="shared" si="2"/>
        <v>1.1000000000000001</v>
      </c>
      <c r="Q21" s="61">
        <f t="shared" si="1"/>
        <v>10.000000000000014</v>
      </c>
      <c r="R21" s="61">
        <f t="shared" si="1"/>
        <v>10.000000000000014</v>
      </c>
      <c r="S21" s="61" t="s">
        <v>1120</v>
      </c>
    </row>
    <row r="22" spans="1:19" ht="36.6" customHeight="1" x14ac:dyDescent="0.25">
      <c r="A22" s="65">
        <v>2</v>
      </c>
      <c r="B22" s="90" t="s">
        <v>782</v>
      </c>
      <c r="C22" s="57">
        <v>120</v>
      </c>
      <c r="D22" s="189">
        <v>85</v>
      </c>
      <c r="E22" s="57">
        <v>70</v>
      </c>
      <c r="F22" s="65">
        <v>2</v>
      </c>
      <c r="G22" s="90" t="s">
        <v>782</v>
      </c>
      <c r="H22" s="190">
        <f>C22*1.1</f>
        <v>132</v>
      </c>
      <c r="I22" s="190">
        <f t="shared" si="5"/>
        <v>93.500000000000014</v>
      </c>
      <c r="J22" s="190">
        <f t="shared" si="5"/>
        <v>77</v>
      </c>
      <c r="K22" s="61" t="s">
        <v>1119</v>
      </c>
      <c r="L22" s="67"/>
      <c r="M22" s="67"/>
      <c r="N22" s="67"/>
      <c r="O22" s="67"/>
      <c r="P22" s="191">
        <f t="shared" si="2"/>
        <v>1.1000000000000001</v>
      </c>
      <c r="Q22" s="61">
        <f t="shared" si="1"/>
        <v>10.000000000000014</v>
      </c>
      <c r="R22" s="61">
        <f t="shared" si="1"/>
        <v>10.000000000000014</v>
      </c>
      <c r="S22" s="61" t="s">
        <v>1120</v>
      </c>
    </row>
    <row r="23" spans="1:19" ht="60" customHeight="1" x14ac:dyDescent="0.25">
      <c r="A23" s="65">
        <v>3</v>
      </c>
      <c r="B23" s="90" t="s">
        <v>783</v>
      </c>
      <c r="C23" s="97">
        <v>105</v>
      </c>
      <c r="D23" s="189">
        <v>80</v>
      </c>
      <c r="E23" s="57">
        <v>65</v>
      </c>
      <c r="F23" s="65">
        <v>3</v>
      </c>
      <c r="G23" s="90" t="s">
        <v>783</v>
      </c>
      <c r="H23" s="190">
        <f>C23*1.1</f>
        <v>115.50000000000001</v>
      </c>
      <c r="I23" s="190">
        <f t="shared" si="5"/>
        <v>88</v>
      </c>
      <c r="J23" s="190">
        <f t="shared" si="5"/>
        <v>71.5</v>
      </c>
      <c r="K23" s="61" t="s">
        <v>1119</v>
      </c>
      <c r="L23" s="67"/>
      <c r="M23" s="67"/>
      <c r="N23" s="67"/>
      <c r="O23" s="67"/>
      <c r="P23" s="191">
        <f t="shared" si="2"/>
        <v>1.1000000000000001</v>
      </c>
      <c r="Q23" s="61">
        <f t="shared" si="1"/>
        <v>10.000000000000014</v>
      </c>
      <c r="R23" s="61">
        <f t="shared" si="1"/>
        <v>10.000000000000014</v>
      </c>
      <c r="S23" s="61" t="s">
        <v>1120</v>
      </c>
    </row>
    <row r="24" spans="1:19" ht="43.9" customHeight="1" x14ac:dyDescent="0.25">
      <c r="A24" s="65">
        <v>4</v>
      </c>
      <c r="B24" s="90"/>
      <c r="C24" s="97"/>
      <c r="D24" s="189"/>
      <c r="E24" s="57"/>
      <c r="F24" s="65" t="s">
        <v>1123</v>
      </c>
      <c r="G24" s="90" t="s">
        <v>1124</v>
      </c>
      <c r="H24" s="190">
        <v>110</v>
      </c>
      <c r="I24" s="190">
        <v>84</v>
      </c>
      <c r="J24" s="190">
        <v>68</v>
      </c>
      <c r="K24" s="90" t="s">
        <v>1125</v>
      </c>
      <c r="L24" s="67"/>
      <c r="M24" s="194" t="s">
        <v>784</v>
      </c>
      <c r="N24" s="67"/>
      <c r="O24" s="67"/>
      <c r="P24" s="191"/>
      <c r="Q24" s="61"/>
      <c r="R24" s="61"/>
      <c r="S24" s="65" t="s">
        <v>1126</v>
      </c>
    </row>
    <row r="25" spans="1:19" ht="34.9" customHeight="1" x14ac:dyDescent="0.25">
      <c r="A25" s="65">
        <v>5</v>
      </c>
      <c r="B25" s="90" t="s">
        <v>772</v>
      </c>
      <c r="C25" s="97">
        <v>90</v>
      </c>
      <c r="D25" s="189">
        <v>70</v>
      </c>
      <c r="E25" s="57">
        <v>60</v>
      </c>
      <c r="F25" s="65">
        <v>4</v>
      </c>
      <c r="G25" s="90" t="s">
        <v>772</v>
      </c>
      <c r="H25" s="190">
        <f>C25*1.1</f>
        <v>99.000000000000014</v>
      </c>
      <c r="I25" s="190">
        <f t="shared" si="5"/>
        <v>77</v>
      </c>
      <c r="J25" s="190">
        <f t="shared" si="5"/>
        <v>66</v>
      </c>
      <c r="K25" s="61" t="s">
        <v>1119</v>
      </c>
      <c r="L25" s="67"/>
      <c r="M25" s="67"/>
      <c r="N25" s="67"/>
      <c r="O25" s="67"/>
      <c r="P25" s="191">
        <f t="shared" si="2"/>
        <v>1.1000000000000001</v>
      </c>
      <c r="Q25" s="61">
        <f t="shared" ref="Q25:R64" si="6">(I25/D25)*100-100</f>
        <v>10.000000000000014</v>
      </c>
      <c r="R25" s="61">
        <f t="shared" si="6"/>
        <v>10.000000000000014</v>
      </c>
      <c r="S25" s="61" t="s">
        <v>1120</v>
      </c>
    </row>
    <row r="26" spans="1:19" ht="35.450000000000003" customHeight="1" x14ac:dyDescent="0.25">
      <c r="A26" s="82" t="s">
        <v>75</v>
      </c>
      <c r="B26" s="84" t="s">
        <v>785</v>
      </c>
      <c r="C26" s="97"/>
      <c r="D26" s="189"/>
      <c r="E26" s="57"/>
      <c r="F26" s="82" t="s">
        <v>75</v>
      </c>
      <c r="G26" s="84" t="s">
        <v>785</v>
      </c>
      <c r="H26" s="190"/>
      <c r="I26" s="190"/>
      <c r="J26" s="190"/>
      <c r="K26" s="98"/>
      <c r="L26" s="67"/>
      <c r="M26" s="67"/>
      <c r="N26" s="67"/>
      <c r="O26" s="67"/>
      <c r="P26" s="191"/>
      <c r="Q26" s="61"/>
      <c r="R26" s="61"/>
      <c r="S26" s="61"/>
    </row>
    <row r="27" spans="1:19" ht="43.15" customHeight="1" x14ac:dyDescent="0.25">
      <c r="A27" s="65">
        <v>1</v>
      </c>
      <c r="B27" s="90" t="s">
        <v>786</v>
      </c>
      <c r="C27" s="57">
        <v>230</v>
      </c>
      <c r="D27" s="189">
        <v>125</v>
      </c>
      <c r="E27" s="57">
        <v>80</v>
      </c>
      <c r="F27" s="65">
        <v>1</v>
      </c>
      <c r="G27" s="90" t="s">
        <v>786</v>
      </c>
      <c r="H27" s="190">
        <f>C27*1.1</f>
        <v>253.00000000000003</v>
      </c>
      <c r="I27" s="190">
        <f t="shared" ref="I27:J30" si="7">D27*1.1</f>
        <v>137.5</v>
      </c>
      <c r="J27" s="190">
        <f t="shared" si="7"/>
        <v>88</v>
      </c>
      <c r="K27" s="61" t="s">
        <v>1119</v>
      </c>
      <c r="L27" s="67"/>
      <c r="M27" s="67"/>
      <c r="N27" s="67"/>
      <c r="O27" s="67"/>
      <c r="P27" s="191">
        <f t="shared" si="2"/>
        <v>1.1000000000000001</v>
      </c>
      <c r="Q27" s="61">
        <f t="shared" si="6"/>
        <v>10.000000000000014</v>
      </c>
      <c r="R27" s="61">
        <f t="shared" si="6"/>
        <v>10.000000000000014</v>
      </c>
      <c r="S27" s="61" t="s">
        <v>1120</v>
      </c>
    </row>
    <row r="28" spans="1:19" ht="42" customHeight="1" x14ac:dyDescent="0.25">
      <c r="A28" s="65">
        <v>2</v>
      </c>
      <c r="B28" s="90" t="s">
        <v>787</v>
      </c>
      <c r="C28" s="57">
        <v>220</v>
      </c>
      <c r="D28" s="189">
        <v>120</v>
      </c>
      <c r="E28" s="57">
        <v>80</v>
      </c>
      <c r="F28" s="65">
        <v>2</v>
      </c>
      <c r="G28" s="90" t="s">
        <v>787</v>
      </c>
      <c r="H28" s="190">
        <f>C28*1.1</f>
        <v>242.00000000000003</v>
      </c>
      <c r="I28" s="190">
        <f t="shared" si="7"/>
        <v>132</v>
      </c>
      <c r="J28" s="190">
        <f t="shared" si="7"/>
        <v>88</v>
      </c>
      <c r="K28" s="61" t="s">
        <v>1119</v>
      </c>
      <c r="L28" s="67"/>
      <c r="M28" s="67"/>
      <c r="N28" s="67"/>
      <c r="O28" s="67"/>
      <c r="P28" s="191">
        <f t="shared" si="2"/>
        <v>1.1000000000000001</v>
      </c>
      <c r="Q28" s="61">
        <f t="shared" si="6"/>
        <v>10.000000000000014</v>
      </c>
      <c r="R28" s="61">
        <f t="shared" si="6"/>
        <v>10.000000000000014</v>
      </c>
      <c r="S28" s="61" t="s">
        <v>1120</v>
      </c>
    </row>
    <row r="29" spans="1:19" ht="49.15" customHeight="1" x14ac:dyDescent="0.25">
      <c r="A29" s="65">
        <v>3</v>
      </c>
      <c r="B29" s="90" t="s">
        <v>788</v>
      </c>
      <c r="C29" s="57">
        <v>170</v>
      </c>
      <c r="D29" s="189">
        <v>100</v>
      </c>
      <c r="E29" s="57">
        <v>75</v>
      </c>
      <c r="F29" s="65">
        <v>3</v>
      </c>
      <c r="G29" s="90" t="s">
        <v>788</v>
      </c>
      <c r="H29" s="190">
        <f>C29*1.1</f>
        <v>187.00000000000003</v>
      </c>
      <c r="I29" s="190">
        <f t="shared" si="7"/>
        <v>110.00000000000001</v>
      </c>
      <c r="J29" s="190">
        <f t="shared" si="7"/>
        <v>82.5</v>
      </c>
      <c r="K29" s="61" t="s">
        <v>1119</v>
      </c>
      <c r="L29" s="67"/>
      <c r="M29" s="67"/>
      <c r="N29" s="67"/>
      <c r="O29" s="67"/>
      <c r="P29" s="191">
        <f t="shared" si="2"/>
        <v>1.1000000000000001</v>
      </c>
      <c r="Q29" s="61">
        <f t="shared" si="6"/>
        <v>10.000000000000014</v>
      </c>
      <c r="R29" s="61">
        <f t="shared" si="6"/>
        <v>10.000000000000014</v>
      </c>
      <c r="S29" s="61" t="s">
        <v>1120</v>
      </c>
    </row>
    <row r="30" spans="1:19" s="35" customFormat="1" ht="36" customHeight="1" x14ac:dyDescent="0.25">
      <c r="A30" s="65">
        <v>4</v>
      </c>
      <c r="B30" s="90" t="s">
        <v>772</v>
      </c>
      <c r="C30" s="97">
        <v>90</v>
      </c>
      <c r="D30" s="189">
        <v>70</v>
      </c>
      <c r="E30" s="57">
        <v>60</v>
      </c>
      <c r="F30" s="65">
        <v>4</v>
      </c>
      <c r="G30" s="90" t="s">
        <v>772</v>
      </c>
      <c r="H30" s="190">
        <f>C30*1.1</f>
        <v>99.000000000000014</v>
      </c>
      <c r="I30" s="190">
        <f t="shared" si="7"/>
        <v>77</v>
      </c>
      <c r="J30" s="190">
        <f t="shared" si="7"/>
        <v>66</v>
      </c>
      <c r="K30" s="61" t="s">
        <v>1119</v>
      </c>
      <c r="L30" s="186"/>
      <c r="M30" s="186"/>
      <c r="N30" s="186"/>
      <c r="O30" s="186"/>
      <c r="P30" s="191">
        <f t="shared" si="2"/>
        <v>1.1000000000000001</v>
      </c>
      <c r="Q30" s="61">
        <f t="shared" si="6"/>
        <v>10.000000000000014</v>
      </c>
      <c r="R30" s="61">
        <f t="shared" si="6"/>
        <v>10.000000000000014</v>
      </c>
      <c r="S30" s="61" t="s">
        <v>1120</v>
      </c>
    </row>
    <row r="31" spans="1:19" ht="31.9" customHeight="1" x14ac:dyDescent="0.25">
      <c r="A31" s="82" t="s">
        <v>349</v>
      </c>
      <c r="B31" s="84" t="s">
        <v>789</v>
      </c>
      <c r="C31" s="65"/>
      <c r="D31" s="189"/>
      <c r="E31" s="57"/>
      <c r="F31" s="82" t="s">
        <v>349</v>
      </c>
      <c r="G31" s="84" t="s">
        <v>789</v>
      </c>
      <c r="H31" s="190"/>
      <c r="I31" s="190"/>
      <c r="J31" s="190"/>
      <c r="K31" s="98"/>
      <c r="L31" s="67"/>
      <c r="M31" s="67"/>
      <c r="N31" s="67"/>
      <c r="O31" s="67"/>
      <c r="P31" s="191"/>
      <c r="Q31" s="61"/>
      <c r="R31" s="61"/>
      <c r="S31" s="61"/>
    </row>
    <row r="32" spans="1:19" ht="60" customHeight="1" x14ac:dyDescent="0.25">
      <c r="A32" s="65">
        <v>1</v>
      </c>
      <c r="B32" s="195" t="s">
        <v>790</v>
      </c>
      <c r="C32" s="57">
        <v>120</v>
      </c>
      <c r="D32" s="189">
        <v>85</v>
      </c>
      <c r="E32" s="57">
        <v>70</v>
      </c>
      <c r="F32" s="65">
        <v>1</v>
      </c>
      <c r="G32" s="195" t="s">
        <v>790</v>
      </c>
      <c r="H32" s="190">
        <f t="shared" ref="H32:J37" si="8">C32*1.1</f>
        <v>132</v>
      </c>
      <c r="I32" s="190">
        <f t="shared" si="8"/>
        <v>93.500000000000014</v>
      </c>
      <c r="J32" s="190">
        <f>H32*M32</f>
        <v>77</v>
      </c>
      <c r="K32" s="62" t="s">
        <v>1127</v>
      </c>
      <c r="L32" s="196">
        <f>D32/C32</f>
        <v>0.70833333333333337</v>
      </c>
      <c r="M32" s="67">
        <f>E32/C32</f>
        <v>0.58333333333333337</v>
      </c>
      <c r="N32" s="67"/>
      <c r="O32" s="67"/>
      <c r="P32" s="191">
        <f t="shared" si="2"/>
        <v>1.1000000000000001</v>
      </c>
      <c r="Q32" s="61">
        <f t="shared" si="6"/>
        <v>10.000000000000014</v>
      </c>
      <c r="R32" s="61">
        <f t="shared" si="6"/>
        <v>10.000000000000014</v>
      </c>
      <c r="S32" s="65" t="s">
        <v>1128</v>
      </c>
    </row>
    <row r="33" spans="1:19" ht="52.9" customHeight="1" x14ac:dyDescent="0.25">
      <c r="A33" s="65">
        <v>2</v>
      </c>
      <c r="B33" s="195" t="s">
        <v>791</v>
      </c>
      <c r="C33" s="57">
        <v>180</v>
      </c>
      <c r="D33" s="189">
        <v>100</v>
      </c>
      <c r="E33" s="57">
        <v>75</v>
      </c>
      <c r="F33" s="65">
        <v>2</v>
      </c>
      <c r="G33" s="195" t="s">
        <v>791</v>
      </c>
      <c r="H33" s="190">
        <f t="shared" si="8"/>
        <v>198.00000000000003</v>
      </c>
      <c r="I33" s="190">
        <f t="shared" si="8"/>
        <v>110.00000000000001</v>
      </c>
      <c r="J33" s="190">
        <f t="shared" si="8"/>
        <v>82.5</v>
      </c>
      <c r="K33" s="61" t="s">
        <v>1119</v>
      </c>
      <c r="L33" s="67"/>
      <c r="M33" s="67"/>
      <c r="N33" s="67"/>
      <c r="O33" s="67"/>
      <c r="P33" s="191">
        <f t="shared" si="2"/>
        <v>1.1000000000000001</v>
      </c>
      <c r="Q33" s="61">
        <f t="shared" si="6"/>
        <v>10.000000000000014</v>
      </c>
      <c r="R33" s="61">
        <f t="shared" si="6"/>
        <v>10.000000000000014</v>
      </c>
      <c r="S33" s="61" t="s">
        <v>1120</v>
      </c>
    </row>
    <row r="34" spans="1:19" ht="54" customHeight="1" x14ac:dyDescent="0.25">
      <c r="A34" s="65">
        <v>3</v>
      </c>
      <c r="B34" s="195" t="s">
        <v>792</v>
      </c>
      <c r="C34" s="57">
        <v>120</v>
      </c>
      <c r="D34" s="189">
        <v>85</v>
      </c>
      <c r="E34" s="57">
        <v>70</v>
      </c>
      <c r="F34" s="65">
        <v>3</v>
      </c>
      <c r="G34" s="195" t="s">
        <v>792</v>
      </c>
      <c r="H34" s="190">
        <f t="shared" si="8"/>
        <v>132</v>
      </c>
      <c r="I34" s="190">
        <f t="shared" si="8"/>
        <v>93.500000000000014</v>
      </c>
      <c r="J34" s="190">
        <f t="shared" si="8"/>
        <v>77</v>
      </c>
      <c r="K34" s="61" t="s">
        <v>1119</v>
      </c>
      <c r="L34" s="67"/>
      <c r="M34" s="67"/>
      <c r="N34" s="67"/>
      <c r="O34" s="67"/>
      <c r="P34" s="191">
        <f t="shared" si="2"/>
        <v>1.1000000000000001</v>
      </c>
      <c r="Q34" s="61">
        <f t="shared" si="6"/>
        <v>10.000000000000014</v>
      </c>
      <c r="R34" s="61">
        <f t="shared" si="6"/>
        <v>10.000000000000014</v>
      </c>
      <c r="S34" s="61" t="s">
        <v>1120</v>
      </c>
    </row>
    <row r="35" spans="1:19" ht="49.9" customHeight="1" x14ac:dyDescent="0.25">
      <c r="A35" s="65">
        <v>4</v>
      </c>
      <c r="B35" s="90" t="s">
        <v>793</v>
      </c>
      <c r="C35" s="97">
        <v>105</v>
      </c>
      <c r="D35" s="189">
        <v>80</v>
      </c>
      <c r="E35" s="57">
        <v>65</v>
      </c>
      <c r="F35" s="65">
        <v>4</v>
      </c>
      <c r="G35" s="90" t="s">
        <v>793</v>
      </c>
      <c r="H35" s="190">
        <f t="shared" si="8"/>
        <v>115.50000000000001</v>
      </c>
      <c r="I35" s="190">
        <f t="shared" si="8"/>
        <v>88</v>
      </c>
      <c r="J35" s="190">
        <f t="shared" si="8"/>
        <v>71.5</v>
      </c>
      <c r="K35" s="61" t="s">
        <v>1119</v>
      </c>
      <c r="L35" s="67"/>
      <c r="M35" s="67"/>
      <c r="N35" s="67"/>
      <c r="O35" s="67"/>
      <c r="P35" s="191">
        <f t="shared" si="2"/>
        <v>1.1000000000000001</v>
      </c>
      <c r="Q35" s="61">
        <f t="shared" si="6"/>
        <v>10.000000000000014</v>
      </c>
      <c r="R35" s="61">
        <f t="shared" si="6"/>
        <v>10.000000000000014</v>
      </c>
      <c r="S35" s="61" t="s">
        <v>1120</v>
      </c>
    </row>
    <row r="36" spans="1:19" ht="52.9" customHeight="1" x14ac:dyDescent="0.25">
      <c r="A36" s="65">
        <v>5</v>
      </c>
      <c r="B36" s="90" t="s">
        <v>794</v>
      </c>
      <c r="C36" s="97">
        <v>90</v>
      </c>
      <c r="D36" s="189">
        <v>70</v>
      </c>
      <c r="E36" s="57">
        <v>60</v>
      </c>
      <c r="F36" s="65">
        <v>5</v>
      </c>
      <c r="G36" s="90" t="s">
        <v>794</v>
      </c>
      <c r="H36" s="190">
        <f t="shared" si="8"/>
        <v>99.000000000000014</v>
      </c>
      <c r="I36" s="190">
        <f t="shared" si="8"/>
        <v>77</v>
      </c>
      <c r="J36" s="190">
        <f t="shared" si="8"/>
        <v>66</v>
      </c>
      <c r="K36" s="61" t="s">
        <v>1119</v>
      </c>
      <c r="L36" s="67"/>
      <c r="M36" s="67"/>
      <c r="N36" s="67"/>
      <c r="O36" s="67"/>
      <c r="P36" s="191">
        <f t="shared" si="2"/>
        <v>1.1000000000000001</v>
      </c>
      <c r="Q36" s="61">
        <f t="shared" si="6"/>
        <v>10.000000000000014</v>
      </c>
      <c r="R36" s="61">
        <f t="shared" si="6"/>
        <v>10.000000000000014</v>
      </c>
      <c r="S36" s="61" t="s">
        <v>1120</v>
      </c>
    </row>
    <row r="37" spans="1:19" ht="37.15" customHeight="1" x14ac:dyDescent="0.25">
      <c r="A37" s="65">
        <v>6</v>
      </c>
      <c r="B37" s="90" t="s">
        <v>772</v>
      </c>
      <c r="C37" s="97">
        <v>85</v>
      </c>
      <c r="D37" s="189">
        <v>70</v>
      </c>
      <c r="E37" s="57">
        <v>60</v>
      </c>
      <c r="F37" s="65">
        <v>6</v>
      </c>
      <c r="G37" s="90" t="s">
        <v>772</v>
      </c>
      <c r="H37" s="190">
        <f t="shared" si="8"/>
        <v>93.500000000000014</v>
      </c>
      <c r="I37" s="190">
        <f t="shared" si="8"/>
        <v>77</v>
      </c>
      <c r="J37" s="190">
        <f t="shared" si="8"/>
        <v>66</v>
      </c>
      <c r="K37" s="61" t="s">
        <v>1119</v>
      </c>
      <c r="L37" s="67"/>
      <c r="M37" s="67"/>
      <c r="N37" s="67"/>
      <c r="O37" s="67"/>
      <c r="P37" s="191">
        <f t="shared" si="2"/>
        <v>1.1000000000000001</v>
      </c>
      <c r="Q37" s="61">
        <f t="shared" si="6"/>
        <v>10.000000000000014</v>
      </c>
      <c r="R37" s="61">
        <f t="shared" si="6"/>
        <v>10.000000000000014</v>
      </c>
      <c r="S37" s="61" t="s">
        <v>1120</v>
      </c>
    </row>
    <row r="38" spans="1:19" ht="25.9" customHeight="1" x14ac:dyDescent="0.25">
      <c r="A38" s="82" t="s">
        <v>354</v>
      </c>
      <c r="B38" s="84" t="s">
        <v>795</v>
      </c>
      <c r="C38" s="97"/>
      <c r="D38" s="189"/>
      <c r="E38" s="57"/>
      <c r="F38" s="82" t="s">
        <v>354</v>
      </c>
      <c r="G38" s="84" t="s">
        <v>795</v>
      </c>
      <c r="H38" s="190"/>
      <c r="I38" s="190"/>
      <c r="J38" s="190"/>
      <c r="K38" s="98"/>
      <c r="L38" s="67"/>
      <c r="M38" s="67"/>
      <c r="N38" s="67"/>
      <c r="O38" s="67"/>
      <c r="P38" s="191"/>
      <c r="Q38" s="61"/>
      <c r="R38" s="61"/>
      <c r="S38" s="61"/>
    </row>
    <row r="39" spans="1:19" ht="43.15" customHeight="1" x14ac:dyDescent="0.25">
      <c r="A39" s="65">
        <v>1</v>
      </c>
      <c r="B39" s="90" t="s">
        <v>796</v>
      </c>
      <c r="C39" s="57">
        <v>180</v>
      </c>
      <c r="D39" s="189">
        <v>100</v>
      </c>
      <c r="E39" s="57">
        <v>75</v>
      </c>
      <c r="F39" s="65">
        <v>1</v>
      </c>
      <c r="G39" s="90" t="s">
        <v>796</v>
      </c>
      <c r="H39" s="190">
        <f>C39*1.1</f>
        <v>198.00000000000003</v>
      </c>
      <c r="I39" s="190">
        <f t="shared" ref="I39:J41" si="9">D39*1.1</f>
        <v>110.00000000000001</v>
      </c>
      <c r="J39" s="190">
        <f t="shared" si="9"/>
        <v>82.5</v>
      </c>
      <c r="K39" s="61" t="s">
        <v>1119</v>
      </c>
      <c r="L39" s="67"/>
      <c r="M39" s="67"/>
      <c r="N39" s="67"/>
      <c r="O39" s="67"/>
      <c r="P39" s="191">
        <f t="shared" si="2"/>
        <v>1.1000000000000001</v>
      </c>
      <c r="Q39" s="61">
        <f t="shared" si="6"/>
        <v>10.000000000000014</v>
      </c>
      <c r="R39" s="61">
        <f t="shared" si="6"/>
        <v>10.000000000000014</v>
      </c>
      <c r="S39" s="61" t="s">
        <v>1120</v>
      </c>
    </row>
    <row r="40" spans="1:19" ht="42" customHeight="1" x14ac:dyDescent="0.25">
      <c r="A40" s="65">
        <v>2</v>
      </c>
      <c r="B40" s="90" t="s">
        <v>797</v>
      </c>
      <c r="C40" s="57">
        <v>115</v>
      </c>
      <c r="D40" s="189">
        <v>80</v>
      </c>
      <c r="E40" s="57">
        <v>60</v>
      </c>
      <c r="F40" s="65">
        <v>2</v>
      </c>
      <c r="G40" s="90" t="s">
        <v>797</v>
      </c>
      <c r="H40" s="190">
        <f>C40*1.1</f>
        <v>126.50000000000001</v>
      </c>
      <c r="I40" s="190">
        <f t="shared" si="9"/>
        <v>88</v>
      </c>
      <c r="J40" s="190">
        <f t="shared" si="9"/>
        <v>66</v>
      </c>
      <c r="K40" s="61" t="s">
        <v>1119</v>
      </c>
      <c r="L40" s="67"/>
      <c r="M40" s="67"/>
      <c r="N40" s="67"/>
      <c r="O40" s="67"/>
      <c r="P40" s="191">
        <f t="shared" si="2"/>
        <v>1.1000000000000001</v>
      </c>
      <c r="Q40" s="61">
        <f t="shared" si="6"/>
        <v>10.000000000000014</v>
      </c>
      <c r="R40" s="61">
        <f t="shared" si="6"/>
        <v>10.000000000000014</v>
      </c>
      <c r="S40" s="61" t="s">
        <v>1120</v>
      </c>
    </row>
    <row r="41" spans="1:19" ht="34.9" customHeight="1" x14ac:dyDescent="0.25">
      <c r="A41" s="65">
        <v>3</v>
      </c>
      <c r="B41" s="90" t="s">
        <v>772</v>
      </c>
      <c r="C41" s="97">
        <v>85</v>
      </c>
      <c r="D41" s="189">
        <v>70</v>
      </c>
      <c r="E41" s="57">
        <v>60</v>
      </c>
      <c r="F41" s="65">
        <v>3</v>
      </c>
      <c r="G41" s="90" t="s">
        <v>772</v>
      </c>
      <c r="H41" s="190">
        <f>C41*1.1</f>
        <v>93.500000000000014</v>
      </c>
      <c r="I41" s="190">
        <f t="shared" si="9"/>
        <v>77</v>
      </c>
      <c r="J41" s="190">
        <f t="shared" si="9"/>
        <v>66</v>
      </c>
      <c r="K41" s="61" t="s">
        <v>1119</v>
      </c>
      <c r="L41" s="67"/>
      <c r="M41" s="67"/>
      <c r="N41" s="67"/>
      <c r="O41" s="67"/>
      <c r="P41" s="191">
        <f t="shared" si="2"/>
        <v>1.1000000000000001</v>
      </c>
      <c r="Q41" s="61">
        <f t="shared" si="6"/>
        <v>10.000000000000014</v>
      </c>
      <c r="R41" s="61">
        <f t="shared" si="6"/>
        <v>10.000000000000014</v>
      </c>
      <c r="S41" s="61" t="s">
        <v>1120</v>
      </c>
    </row>
    <row r="42" spans="1:19" ht="26.45" customHeight="1" x14ac:dyDescent="0.25">
      <c r="A42" s="82" t="s">
        <v>427</v>
      </c>
      <c r="B42" s="84" t="s">
        <v>798</v>
      </c>
      <c r="C42" s="97"/>
      <c r="D42" s="189"/>
      <c r="E42" s="57"/>
      <c r="F42" s="82" t="s">
        <v>427</v>
      </c>
      <c r="G42" s="84" t="s">
        <v>798</v>
      </c>
      <c r="H42" s="190"/>
      <c r="I42" s="190"/>
      <c r="J42" s="190"/>
      <c r="K42" s="98"/>
      <c r="L42" s="67"/>
      <c r="M42" s="67"/>
      <c r="N42" s="67"/>
      <c r="O42" s="67"/>
      <c r="P42" s="191"/>
      <c r="Q42" s="61"/>
      <c r="R42" s="61"/>
      <c r="S42" s="61"/>
    </row>
    <row r="43" spans="1:19" ht="44.45" customHeight="1" x14ac:dyDescent="0.25">
      <c r="A43" s="65">
        <v>1</v>
      </c>
      <c r="B43" s="90" t="s">
        <v>799</v>
      </c>
      <c r="C43" s="57">
        <v>120</v>
      </c>
      <c r="D43" s="189">
        <v>85</v>
      </c>
      <c r="E43" s="57">
        <v>70</v>
      </c>
      <c r="F43" s="65">
        <v>1</v>
      </c>
      <c r="G43" s="90" t="s">
        <v>799</v>
      </c>
      <c r="H43" s="190">
        <f>C43*1.1</f>
        <v>132</v>
      </c>
      <c r="I43" s="190">
        <f>D43*1.1</f>
        <v>93.500000000000014</v>
      </c>
      <c r="J43" s="190">
        <f>E43*1.1</f>
        <v>77</v>
      </c>
      <c r="K43" s="61" t="s">
        <v>1119</v>
      </c>
      <c r="L43" s="67"/>
      <c r="M43" s="67"/>
      <c r="N43" s="67"/>
      <c r="O43" s="67"/>
      <c r="P43" s="191">
        <f t="shared" si="2"/>
        <v>1.1000000000000001</v>
      </c>
      <c r="Q43" s="61">
        <f t="shared" si="6"/>
        <v>10.000000000000014</v>
      </c>
      <c r="R43" s="61">
        <f t="shared" si="6"/>
        <v>10.000000000000014</v>
      </c>
      <c r="S43" s="61" t="s">
        <v>1120</v>
      </c>
    </row>
    <row r="44" spans="1:19" ht="57" customHeight="1" x14ac:dyDescent="0.25">
      <c r="A44" s="65">
        <v>2</v>
      </c>
      <c r="B44" s="90" t="s">
        <v>800</v>
      </c>
      <c r="C44" s="57">
        <v>190</v>
      </c>
      <c r="D44" s="189">
        <v>100</v>
      </c>
      <c r="E44" s="57">
        <v>75</v>
      </c>
      <c r="F44" s="65">
        <v>2</v>
      </c>
      <c r="G44" s="90" t="s">
        <v>800</v>
      </c>
      <c r="H44" s="190">
        <f>190*1.1</f>
        <v>209.00000000000003</v>
      </c>
      <c r="I44" s="190">
        <f>D44*1.1</f>
        <v>110.00000000000001</v>
      </c>
      <c r="J44" s="190">
        <f>E44*1.1</f>
        <v>82.5</v>
      </c>
      <c r="K44" s="61" t="s">
        <v>1119</v>
      </c>
      <c r="L44" s="67"/>
      <c r="M44" s="67"/>
      <c r="N44" s="67"/>
      <c r="O44" s="67"/>
      <c r="P44" s="191">
        <f t="shared" si="2"/>
        <v>1.1000000000000001</v>
      </c>
      <c r="Q44" s="61">
        <f t="shared" si="6"/>
        <v>10.000000000000014</v>
      </c>
      <c r="R44" s="197">
        <f t="shared" si="6"/>
        <v>10.000000000000014</v>
      </c>
      <c r="S44" s="61" t="s">
        <v>1120</v>
      </c>
    </row>
    <row r="45" spans="1:19" ht="55.9" customHeight="1" x14ac:dyDescent="0.25">
      <c r="A45" s="65">
        <v>3</v>
      </c>
      <c r="B45" s="90" t="s">
        <v>801</v>
      </c>
      <c r="C45" s="57">
        <v>120</v>
      </c>
      <c r="D45" s="189">
        <v>85</v>
      </c>
      <c r="E45" s="57">
        <v>70</v>
      </c>
      <c r="F45" s="65">
        <v>3</v>
      </c>
      <c r="G45" s="90" t="s">
        <v>801</v>
      </c>
      <c r="H45" s="190">
        <f>C45*1.1</f>
        <v>132</v>
      </c>
      <c r="I45" s="190">
        <f>D45*1.1</f>
        <v>93.500000000000014</v>
      </c>
      <c r="J45" s="190">
        <f>E45*1.1</f>
        <v>77</v>
      </c>
      <c r="K45" s="61" t="s">
        <v>1119</v>
      </c>
      <c r="L45" s="67"/>
      <c r="M45" s="67"/>
      <c r="N45" s="67"/>
      <c r="O45" s="67"/>
      <c r="P45" s="191">
        <f t="shared" si="2"/>
        <v>1.1000000000000001</v>
      </c>
      <c r="Q45" s="61">
        <f t="shared" si="6"/>
        <v>10.000000000000014</v>
      </c>
      <c r="R45" s="61">
        <f t="shared" si="6"/>
        <v>10.000000000000014</v>
      </c>
      <c r="S45" s="61" t="s">
        <v>1120</v>
      </c>
    </row>
    <row r="46" spans="1:19" ht="36.75" customHeight="1" x14ac:dyDescent="0.25">
      <c r="A46" s="65">
        <v>4</v>
      </c>
      <c r="B46" s="90" t="s">
        <v>772</v>
      </c>
      <c r="C46" s="97">
        <v>85</v>
      </c>
      <c r="D46" s="189">
        <v>70</v>
      </c>
      <c r="E46" s="57">
        <v>60</v>
      </c>
      <c r="F46" s="65">
        <v>4</v>
      </c>
      <c r="G46" s="90" t="s">
        <v>772</v>
      </c>
      <c r="H46" s="190">
        <f>C46*1.1</f>
        <v>93.500000000000014</v>
      </c>
      <c r="I46" s="190">
        <f>D46*1.1</f>
        <v>77</v>
      </c>
      <c r="J46" s="190">
        <v>90</v>
      </c>
      <c r="K46" s="61" t="s">
        <v>1119</v>
      </c>
      <c r="L46" s="67"/>
      <c r="M46" s="67"/>
      <c r="N46" s="67"/>
      <c r="O46" s="67"/>
      <c r="P46" s="191">
        <f t="shared" si="2"/>
        <v>1.1000000000000001</v>
      </c>
      <c r="Q46" s="61">
        <f t="shared" si="6"/>
        <v>10.000000000000014</v>
      </c>
      <c r="R46" s="61">
        <f t="shared" si="6"/>
        <v>50</v>
      </c>
      <c r="S46" s="61" t="s">
        <v>1120</v>
      </c>
    </row>
    <row r="47" spans="1:19" ht="19.5" customHeight="1" x14ac:dyDescent="0.25">
      <c r="A47" s="82" t="s">
        <v>432</v>
      </c>
      <c r="B47" s="84" t="s">
        <v>802</v>
      </c>
      <c r="C47" s="97"/>
      <c r="D47" s="189"/>
      <c r="E47" s="57"/>
      <c r="F47" s="82" t="s">
        <v>432</v>
      </c>
      <c r="G47" s="84" t="s">
        <v>802</v>
      </c>
      <c r="H47" s="190"/>
      <c r="I47" s="190"/>
      <c r="J47" s="190"/>
      <c r="K47" s="98"/>
      <c r="L47" s="67"/>
      <c r="M47" s="67"/>
      <c r="N47" s="67"/>
      <c r="O47" s="67"/>
      <c r="P47" s="191"/>
      <c r="Q47" s="61"/>
      <c r="R47" s="61"/>
      <c r="S47" s="61"/>
    </row>
    <row r="48" spans="1:19" ht="48.6" customHeight="1" x14ac:dyDescent="0.25">
      <c r="A48" s="65">
        <v>1</v>
      </c>
      <c r="B48" s="90" t="s">
        <v>803</v>
      </c>
      <c r="C48" s="57">
        <v>130</v>
      </c>
      <c r="D48" s="189">
        <v>85</v>
      </c>
      <c r="E48" s="57">
        <v>70</v>
      </c>
      <c r="F48" s="65">
        <v>1</v>
      </c>
      <c r="G48" s="90" t="s">
        <v>803</v>
      </c>
      <c r="H48" s="190">
        <f>C48*1.1</f>
        <v>143</v>
      </c>
      <c r="I48" s="190">
        <f t="shared" ref="I48:J53" si="10">D48*1.1</f>
        <v>93.500000000000014</v>
      </c>
      <c r="J48" s="190">
        <f t="shared" si="10"/>
        <v>77</v>
      </c>
      <c r="K48" s="61" t="s">
        <v>1119</v>
      </c>
      <c r="L48" s="67"/>
      <c r="M48" s="67"/>
      <c r="N48" s="67"/>
      <c r="O48" s="67"/>
      <c r="P48" s="191">
        <f t="shared" si="2"/>
        <v>1.1000000000000001</v>
      </c>
      <c r="Q48" s="61">
        <f t="shared" si="6"/>
        <v>10.000000000000014</v>
      </c>
      <c r="R48" s="61">
        <f t="shared" si="6"/>
        <v>10.000000000000014</v>
      </c>
      <c r="S48" s="61" t="s">
        <v>1120</v>
      </c>
    </row>
    <row r="49" spans="1:19" ht="46.9" customHeight="1" x14ac:dyDescent="0.25">
      <c r="A49" s="65">
        <v>2</v>
      </c>
      <c r="B49" s="90" t="s">
        <v>804</v>
      </c>
      <c r="C49" s="57">
        <v>180</v>
      </c>
      <c r="D49" s="189">
        <v>100</v>
      </c>
      <c r="E49" s="57">
        <v>75</v>
      </c>
      <c r="F49" s="65">
        <v>2</v>
      </c>
      <c r="G49" s="90" t="s">
        <v>804</v>
      </c>
      <c r="H49" s="190">
        <f>C49*1.1</f>
        <v>198.00000000000003</v>
      </c>
      <c r="I49" s="190">
        <f t="shared" si="10"/>
        <v>110.00000000000001</v>
      </c>
      <c r="J49" s="190">
        <f t="shared" si="10"/>
        <v>82.5</v>
      </c>
      <c r="K49" s="61" t="s">
        <v>1119</v>
      </c>
      <c r="L49" s="67"/>
      <c r="M49" s="67"/>
      <c r="N49" s="67"/>
      <c r="O49" s="67"/>
      <c r="P49" s="191">
        <f t="shared" si="2"/>
        <v>1.1000000000000001</v>
      </c>
      <c r="Q49" s="61">
        <f t="shared" si="6"/>
        <v>10.000000000000014</v>
      </c>
      <c r="R49" s="61">
        <f t="shared" si="6"/>
        <v>10.000000000000014</v>
      </c>
      <c r="S49" s="61" t="s">
        <v>1120</v>
      </c>
    </row>
    <row r="50" spans="1:19" ht="49.15" customHeight="1" x14ac:dyDescent="0.25">
      <c r="A50" s="65">
        <v>3</v>
      </c>
      <c r="B50" s="90" t="s">
        <v>805</v>
      </c>
      <c r="C50" s="57">
        <v>130</v>
      </c>
      <c r="D50" s="189">
        <v>85</v>
      </c>
      <c r="E50" s="57">
        <v>70</v>
      </c>
      <c r="F50" s="65">
        <v>3</v>
      </c>
      <c r="G50" s="90" t="s">
        <v>805</v>
      </c>
      <c r="H50" s="190">
        <f>C50*1.1</f>
        <v>143</v>
      </c>
      <c r="I50" s="190">
        <f t="shared" si="10"/>
        <v>93.500000000000014</v>
      </c>
      <c r="J50" s="190">
        <f t="shared" si="10"/>
        <v>77</v>
      </c>
      <c r="K50" s="61" t="s">
        <v>1119</v>
      </c>
      <c r="L50" s="67"/>
      <c r="M50" s="67"/>
      <c r="N50" s="67"/>
      <c r="O50" s="67"/>
      <c r="P50" s="191">
        <f t="shared" si="2"/>
        <v>1.1000000000000001</v>
      </c>
      <c r="Q50" s="61">
        <f t="shared" si="6"/>
        <v>10.000000000000014</v>
      </c>
      <c r="R50" s="61">
        <f t="shared" si="6"/>
        <v>10.000000000000014</v>
      </c>
      <c r="S50" s="61" t="s">
        <v>1120</v>
      </c>
    </row>
    <row r="51" spans="1:19" ht="45.6" customHeight="1" x14ac:dyDescent="0.25">
      <c r="A51" s="65">
        <v>4</v>
      </c>
      <c r="B51" s="90"/>
      <c r="C51" s="57"/>
      <c r="D51" s="189"/>
      <c r="E51" s="57"/>
      <c r="F51" s="65">
        <v>4</v>
      </c>
      <c r="G51" s="90" t="s">
        <v>806</v>
      </c>
      <c r="H51" s="190">
        <v>110</v>
      </c>
      <c r="I51" s="190">
        <v>90</v>
      </c>
      <c r="J51" s="190">
        <v>70</v>
      </c>
      <c r="K51" s="90" t="s">
        <v>1129</v>
      </c>
      <c r="L51" s="67"/>
      <c r="M51" s="66" t="s">
        <v>807</v>
      </c>
      <c r="N51" s="67"/>
      <c r="O51" s="67"/>
      <c r="P51" s="191"/>
      <c r="Q51" s="61"/>
      <c r="R51" s="61"/>
      <c r="S51" s="65" t="s">
        <v>1130</v>
      </c>
    </row>
    <row r="52" spans="1:19" ht="48" customHeight="1" x14ac:dyDescent="0.25">
      <c r="A52" s="65">
        <v>5</v>
      </c>
      <c r="B52" s="90"/>
      <c r="C52" s="57"/>
      <c r="D52" s="189"/>
      <c r="E52" s="57"/>
      <c r="F52" s="65">
        <v>5</v>
      </c>
      <c r="G52" s="90" t="s">
        <v>808</v>
      </c>
      <c r="H52" s="190">
        <v>110</v>
      </c>
      <c r="I52" s="190">
        <v>90</v>
      </c>
      <c r="J52" s="190">
        <v>70</v>
      </c>
      <c r="K52" s="90" t="s">
        <v>1129</v>
      </c>
      <c r="L52" s="67"/>
      <c r="M52" s="66" t="s">
        <v>807</v>
      </c>
      <c r="N52" s="67"/>
      <c r="O52" s="67"/>
      <c r="P52" s="191"/>
      <c r="Q52" s="61"/>
      <c r="R52" s="61"/>
      <c r="S52" s="65" t="s">
        <v>1130</v>
      </c>
    </row>
    <row r="53" spans="1:19" ht="39.75" customHeight="1" x14ac:dyDescent="0.25">
      <c r="A53" s="65">
        <v>6</v>
      </c>
      <c r="B53" s="90" t="s">
        <v>772</v>
      </c>
      <c r="C53" s="97">
        <v>85</v>
      </c>
      <c r="D53" s="189">
        <v>70</v>
      </c>
      <c r="E53" s="57">
        <v>60</v>
      </c>
      <c r="F53" s="65">
        <v>6</v>
      </c>
      <c r="G53" s="90" t="s">
        <v>772</v>
      </c>
      <c r="H53" s="190">
        <f>C53*1.1</f>
        <v>93.500000000000014</v>
      </c>
      <c r="I53" s="190">
        <f t="shared" si="10"/>
        <v>77</v>
      </c>
      <c r="J53" s="190">
        <f t="shared" si="10"/>
        <v>66</v>
      </c>
      <c r="K53" s="61" t="s">
        <v>1119</v>
      </c>
      <c r="L53" s="67"/>
      <c r="M53" s="67"/>
      <c r="N53" s="67"/>
      <c r="O53" s="67"/>
      <c r="P53" s="191">
        <f t="shared" si="2"/>
        <v>1.1000000000000001</v>
      </c>
      <c r="Q53" s="61">
        <f t="shared" si="6"/>
        <v>10.000000000000014</v>
      </c>
      <c r="R53" s="61">
        <f t="shared" si="6"/>
        <v>10.000000000000014</v>
      </c>
      <c r="S53" s="61"/>
    </row>
    <row r="54" spans="1:19" ht="30" customHeight="1" x14ac:dyDescent="0.25">
      <c r="A54" s="82" t="s">
        <v>436</v>
      </c>
      <c r="B54" s="84" t="s">
        <v>809</v>
      </c>
      <c r="C54" s="65"/>
      <c r="D54" s="189"/>
      <c r="E54" s="57"/>
      <c r="F54" s="82" t="s">
        <v>436</v>
      </c>
      <c r="G54" s="84" t="s">
        <v>809</v>
      </c>
      <c r="H54" s="190"/>
      <c r="I54" s="190"/>
      <c r="J54" s="190"/>
      <c r="K54" s="98"/>
      <c r="L54" s="67"/>
      <c r="M54" s="67"/>
      <c r="N54" s="67"/>
      <c r="O54" s="67"/>
      <c r="P54" s="191"/>
      <c r="Q54" s="61"/>
      <c r="R54" s="61"/>
      <c r="S54" s="61"/>
    </row>
    <row r="55" spans="1:19" ht="49.5" customHeight="1" x14ac:dyDescent="0.25">
      <c r="A55" s="65">
        <v>1</v>
      </c>
      <c r="B55" s="90" t="s">
        <v>810</v>
      </c>
      <c r="C55" s="57">
        <v>115</v>
      </c>
      <c r="D55" s="189">
        <v>85</v>
      </c>
      <c r="E55" s="57">
        <v>70</v>
      </c>
      <c r="F55" s="65">
        <v>1</v>
      </c>
      <c r="G55" s="90" t="s">
        <v>810</v>
      </c>
      <c r="H55" s="190">
        <f>C55*1.1</f>
        <v>126.50000000000001</v>
      </c>
      <c r="I55" s="190">
        <f t="shared" ref="I55:J58" si="11">D55*1.1</f>
        <v>93.500000000000014</v>
      </c>
      <c r="J55" s="190">
        <f t="shared" si="11"/>
        <v>77</v>
      </c>
      <c r="K55" s="61" t="s">
        <v>1119</v>
      </c>
      <c r="L55" s="67"/>
      <c r="M55" s="67"/>
      <c r="N55" s="67"/>
      <c r="O55" s="67"/>
      <c r="P55" s="191">
        <f t="shared" si="2"/>
        <v>1.1000000000000001</v>
      </c>
      <c r="Q55" s="61">
        <f t="shared" si="6"/>
        <v>10.000000000000014</v>
      </c>
      <c r="R55" s="61">
        <f t="shared" si="6"/>
        <v>10.000000000000014</v>
      </c>
      <c r="S55" s="61" t="s">
        <v>1120</v>
      </c>
    </row>
    <row r="56" spans="1:19" ht="57.75" customHeight="1" x14ac:dyDescent="0.25">
      <c r="A56" s="65">
        <v>2</v>
      </c>
      <c r="B56" s="90" t="s">
        <v>811</v>
      </c>
      <c r="C56" s="57">
        <v>120</v>
      </c>
      <c r="D56" s="189">
        <v>85</v>
      </c>
      <c r="E56" s="57">
        <v>70</v>
      </c>
      <c r="F56" s="65">
        <v>2</v>
      </c>
      <c r="G56" s="90" t="s">
        <v>812</v>
      </c>
      <c r="H56" s="190">
        <f>C56*1.1</f>
        <v>132</v>
      </c>
      <c r="I56" s="190">
        <f t="shared" si="11"/>
        <v>93.500000000000014</v>
      </c>
      <c r="J56" s="190">
        <f t="shared" si="11"/>
        <v>77</v>
      </c>
      <c r="K56" s="90" t="s">
        <v>1131</v>
      </c>
      <c r="L56" s="67"/>
      <c r="M56" s="67"/>
      <c r="N56" s="67"/>
      <c r="O56" s="67"/>
      <c r="P56" s="191">
        <f t="shared" si="2"/>
        <v>1.1000000000000001</v>
      </c>
      <c r="Q56" s="61">
        <f t="shared" si="6"/>
        <v>10.000000000000014</v>
      </c>
      <c r="R56" s="61">
        <f t="shared" si="6"/>
        <v>10.000000000000014</v>
      </c>
      <c r="S56" s="297" t="s">
        <v>1132</v>
      </c>
    </row>
    <row r="57" spans="1:19" s="35" customFormat="1" ht="57" customHeight="1" x14ac:dyDescent="0.25">
      <c r="A57" s="65">
        <v>3</v>
      </c>
      <c r="B57" s="90" t="s">
        <v>813</v>
      </c>
      <c r="C57" s="57">
        <v>100</v>
      </c>
      <c r="D57" s="189">
        <v>70</v>
      </c>
      <c r="E57" s="57">
        <v>60</v>
      </c>
      <c r="F57" s="65">
        <v>3</v>
      </c>
      <c r="G57" s="90" t="s">
        <v>814</v>
      </c>
      <c r="H57" s="190">
        <f>C57*1.1</f>
        <v>110.00000000000001</v>
      </c>
      <c r="I57" s="190">
        <f t="shared" si="11"/>
        <v>77</v>
      </c>
      <c r="J57" s="190">
        <f t="shared" si="11"/>
        <v>66</v>
      </c>
      <c r="K57" s="90" t="s">
        <v>1131</v>
      </c>
      <c r="L57" s="186"/>
      <c r="M57" s="186"/>
      <c r="N57" s="186"/>
      <c r="O57" s="186"/>
      <c r="P57" s="191">
        <f t="shared" si="2"/>
        <v>1.1000000000000001</v>
      </c>
      <c r="Q57" s="61">
        <f t="shared" si="6"/>
        <v>10.000000000000014</v>
      </c>
      <c r="R57" s="61">
        <f t="shared" si="6"/>
        <v>10.000000000000014</v>
      </c>
      <c r="S57" s="298"/>
    </row>
    <row r="58" spans="1:19" ht="34.15" customHeight="1" x14ac:dyDescent="0.25">
      <c r="A58" s="65">
        <v>4</v>
      </c>
      <c r="B58" s="90" t="s">
        <v>772</v>
      </c>
      <c r="C58" s="97">
        <v>85</v>
      </c>
      <c r="D58" s="189">
        <v>70</v>
      </c>
      <c r="E58" s="57">
        <v>60</v>
      </c>
      <c r="F58" s="65">
        <v>4</v>
      </c>
      <c r="G58" s="90" t="s">
        <v>772</v>
      </c>
      <c r="H58" s="190">
        <f>C58*1.1</f>
        <v>93.500000000000014</v>
      </c>
      <c r="I58" s="190">
        <f t="shared" si="11"/>
        <v>77</v>
      </c>
      <c r="J58" s="190">
        <f t="shared" si="11"/>
        <v>66</v>
      </c>
      <c r="K58" s="61" t="s">
        <v>1119</v>
      </c>
      <c r="L58" s="67"/>
      <c r="M58" s="67"/>
      <c r="N58" s="67"/>
      <c r="O58" s="67"/>
      <c r="P58" s="191">
        <f t="shared" si="2"/>
        <v>1.1000000000000001</v>
      </c>
      <c r="Q58" s="61">
        <f t="shared" si="6"/>
        <v>10.000000000000014</v>
      </c>
      <c r="R58" s="61">
        <f t="shared" si="6"/>
        <v>10.000000000000014</v>
      </c>
      <c r="S58" s="61" t="s">
        <v>1120</v>
      </c>
    </row>
    <row r="59" spans="1:19" ht="28.5" customHeight="1" x14ac:dyDescent="0.25">
      <c r="A59" s="82" t="s">
        <v>441</v>
      </c>
      <c r="B59" s="84" t="s">
        <v>815</v>
      </c>
      <c r="C59" s="97"/>
      <c r="D59" s="189"/>
      <c r="E59" s="57"/>
      <c r="F59" s="82" t="s">
        <v>441</v>
      </c>
      <c r="G59" s="84" t="s">
        <v>815</v>
      </c>
      <c r="H59" s="190"/>
      <c r="I59" s="190"/>
      <c r="J59" s="190"/>
      <c r="K59" s="98"/>
      <c r="L59" s="67"/>
      <c r="M59" s="67"/>
      <c r="N59" s="67"/>
      <c r="O59" s="67"/>
      <c r="P59" s="191"/>
      <c r="Q59" s="61"/>
      <c r="R59" s="61"/>
      <c r="S59" s="61"/>
    </row>
    <row r="60" spans="1:19" ht="54" customHeight="1" x14ac:dyDescent="0.25">
      <c r="A60" s="65">
        <v>1</v>
      </c>
      <c r="B60" s="90" t="s">
        <v>816</v>
      </c>
      <c r="C60" s="97">
        <v>85</v>
      </c>
      <c r="D60" s="189">
        <v>70</v>
      </c>
      <c r="E60" s="57">
        <v>60</v>
      </c>
      <c r="F60" s="65">
        <v>1</v>
      </c>
      <c r="G60" s="90" t="s">
        <v>817</v>
      </c>
      <c r="H60" s="190">
        <v>90</v>
      </c>
      <c r="I60" s="190">
        <v>70</v>
      </c>
      <c r="J60" s="190">
        <v>60</v>
      </c>
      <c r="K60" s="90" t="s">
        <v>1133</v>
      </c>
      <c r="L60" s="67"/>
      <c r="M60" s="66" t="s">
        <v>818</v>
      </c>
      <c r="N60" s="67"/>
      <c r="O60" s="67"/>
      <c r="P60" s="191">
        <f t="shared" si="2"/>
        <v>1.0588235294117647</v>
      </c>
      <c r="Q60" s="61">
        <f t="shared" si="6"/>
        <v>0</v>
      </c>
      <c r="R60" s="61">
        <f t="shared" si="6"/>
        <v>0</v>
      </c>
      <c r="S60" s="297" t="s">
        <v>1132</v>
      </c>
    </row>
    <row r="61" spans="1:19" ht="49.9" customHeight="1" x14ac:dyDescent="0.25">
      <c r="A61" s="65">
        <v>2</v>
      </c>
      <c r="B61" s="90" t="s">
        <v>819</v>
      </c>
      <c r="C61" s="97">
        <v>85</v>
      </c>
      <c r="D61" s="189">
        <v>70</v>
      </c>
      <c r="E61" s="57">
        <v>60</v>
      </c>
      <c r="F61" s="65">
        <v>2</v>
      </c>
      <c r="G61" s="90" t="s">
        <v>820</v>
      </c>
      <c r="H61" s="190">
        <f t="shared" ref="H61:J64" si="12">C61*1.1</f>
        <v>93.500000000000014</v>
      </c>
      <c r="I61" s="190">
        <f t="shared" si="12"/>
        <v>77</v>
      </c>
      <c r="J61" s="190">
        <f t="shared" si="12"/>
        <v>66</v>
      </c>
      <c r="K61" s="90" t="s">
        <v>1131</v>
      </c>
      <c r="L61" s="67"/>
      <c r="M61" s="67"/>
      <c r="N61" s="67"/>
      <c r="O61" s="67"/>
      <c r="P61" s="191">
        <f t="shared" si="2"/>
        <v>1.1000000000000001</v>
      </c>
      <c r="Q61" s="61">
        <f t="shared" si="6"/>
        <v>10.000000000000014</v>
      </c>
      <c r="R61" s="61">
        <f t="shared" si="6"/>
        <v>10.000000000000014</v>
      </c>
      <c r="S61" s="298"/>
    </row>
    <row r="62" spans="1:19" ht="24.6" customHeight="1" x14ac:dyDescent="0.25">
      <c r="A62" s="65">
        <v>3</v>
      </c>
      <c r="B62" s="90" t="s">
        <v>821</v>
      </c>
      <c r="C62" s="57">
        <v>100</v>
      </c>
      <c r="D62" s="189">
        <v>70</v>
      </c>
      <c r="E62" s="57">
        <v>60</v>
      </c>
      <c r="F62" s="65">
        <v>3</v>
      </c>
      <c r="G62" s="90" t="s">
        <v>821</v>
      </c>
      <c r="H62" s="190">
        <f t="shared" si="12"/>
        <v>110.00000000000001</v>
      </c>
      <c r="I62" s="190">
        <f t="shared" si="12"/>
        <v>77</v>
      </c>
      <c r="J62" s="190">
        <f t="shared" si="12"/>
        <v>66</v>
      </c>
      <c r="K62" s="61" t="s">
        <v>1119</v>
      </c>
      <c r="L62" s="67"/>
      <c r="M62" s="67"/>
      <c r="N62" s="67"/>
      <c r="O62" s="67"/>
      <c r="P62" s="191">
        <f t="shared" si="2"/>
        <v>1.1000000000000001</v>
      </c>
      <c r="Q62" s="61">
        <f t="shared" si="6"/>
        <v>10.000000000000014</v>
      </c>
      <c r="R62" s="61">
        <f t="shared" si="6"/>
        <v>10.000000000000014</v>
      </c>
      <c r="S62" s="61" t="s">
        <v>1120</v>
      </c>
    </row>
    <row r="63" spans="1:19" ht="46.5" customHeight="1" x14ac:dyDescent="0.25">
      <c r="A63" s="65">
        <v>4</v>
      </c>
      <c r="B63" s="90" t="s">
        <v>822</v>
      </c>
      <c r="C63" s="97">
        <v>85</v>
      </c>
      <c r="D63" s="189">
        <v>70</v>
      </c>
      <c r="E63" s="57">
        <v>60</v>
      </c>
      <c r="F63" s="65">
        <v>4</v>
      </c>
      <c r="G63" s="90" t="s">
        <v>823</v>
      </c>
      <c r="H63" s="190">
        <f t="shared" si="12"/>
        <v>93.500000000000014</v>
      </c>
      <c r="I63" s="190">
        <f t="shared" si="12"/>
        <v>77</v>
      </c>
      <c r="J63" s="190">
        <f t="shared" si="12"/>
        <v>66</v>
      </c>
      <c r="K63" s="90" t="s">
        <v>1134</v>
      </c>
      <c r="L63" s="67"/>
      <c r="M63" s="67"/>
      <c r="N63" s="67"/>
      <c r="O63" s="67"/>
      <c r="P63" s="191">
        <f t="shared" si="2"/>
        <v>1.1000000000000001</v>
      </c>
      <c r="Q63" s="61">
        <f t="shared" si="6"/>
        <v>10.000000000000014</v>
      </c>
      <c r="R63" s="61">
        <f t="shared" si="6"/>
        <v>10.000000000000014</v>
      </c>
      <c r="S63" s="65" t="s">
        <v>1132</v>
      </c>
    </row>
    <row r="64" spans="1:19" ht="28.5" customHeight="1" x14ac:dyDescent="0.25">
      <c r="A64" s="65">
        <v>5</v>
      </c>
      <c r="B64" s="90" t="s">
        <v>772</v>
      </c>
      <c r="C64" s="97">
        <v>80</v>
      </c>
      <c r="D64" s="189">
        <v>65</v>
      </c>
      <c r="E64" s="57">
        <v>60</v>
      </c>
      <c r="F64" s="65">
        <v>5</v>
      </c>
      <c r="G64" s="90" t="s">
        <v>772</v>
      </c>
      <c r="H64" s="190">
        <f t="shared" si="12"/>
        <v>88</v>
      </c>
      <c r="I64" s="190">
        <f t="shared" si="12"/>
        <v>71.5</v>
      </c>
      <c r="J64" s="190">
        <f t="shared" si="12"/>
        <v>66</v>
      </c>
      <c r="K64" s="61" t="s">
        <v>1119</v>
      </c>
      <c r="L64" s="67"/>
      <c r="M64" s="67"/>
      <c r="N64" s="67"/>
      <c r="O64" s="67"/>
      <c r="P64" s="191">
        <f t="shared" si="2"/>
        <v>1.1000000000000001</v>
      </c>
      <c r="Q64" s="61">
        <f t="shared" si="6"/>
        <v>10.000000000000014</v>
      </c>
      <c r="R64" s="61">
        <f t="shared" si="6"/>
        <v>10.000000000000014</v>
      </c>
      <c r="S64" s="61" t="s">
        <v>1120</v>
      </c>
    </row>
    <row r="65" spans="1:19" hidden="1" x14ac:dyDescent="0.25">
      <c r="A65" s="32"/>
      <c r="B65" s="43"/>
      <c r="C65" s="32"/>
      <c r="D65" s="27"/>
      <c r="E65" s="34"/>
      <c r="F65" s="37"/>
      <c r="G65" s="38"/>
    </row>
    <row r="66" spans="1:19" x14ac:dyDescent="0.25">
      <c r="B66" s="346"/>
      <c r="C66" s="346"/>
      <c r="D66" s="346"/>
      <c r="E66" s="346"/>
    </row>
    <row r="67" spans="1:19" x14ac:dyDescent="0.25">
      <c r="A67" s="36"/>
      <c r="B67" s="345"/>
      <c r="C67" s="345"/>
      <c r="D67" s="345"/>
      <c r="E67" s="345"/>
      <c r="H67" s="36"/>
      <c r="I67" s="36"/>
      <c r="J67" s="36"/>
      <c r="P67" s="44"/>
      <c r="Q67" s="36"/>
      <c r="R67" s="36"/>
      <c r="S67" s="36"/>
    </row>
    <row r="68" spans="1:19" x14ac:dyDescent="0.25">
      <c r="A68" s="36"/>
      <c r="B68" s="345"/>
      <c r="C68" s="345"/>
      <c r="D68" s="345"/>
      <c r="E68" s="345"/>
      <c r="H68" s="36"/>
      <c r="I68" s="36"/>
      <c r="J68" s="36"/>
      <c r="P68" s="44"/>
      <c r="Q68" s="36"/>
      <c r="R68" s="36"/>
      <c r="S68" s="36"/>
    </row>
    <row r="69" spans="1:19" x14ac:dyDescent="0.25">
      <c r="A69" s="36"/>
      <c r="B69" s="345"/>
      <c r="C69" s="345"/>
      <c r="D69" s="345"/>
      <c r="E69" s="345"/>
      <c r="H69" s="36"/>
      <c r="I69" s="36"/>
      <c r="J69" s="36"/>
      <c r="P69" s="44"/>
      <c r="Q69" s="36"/>
      <c r="R69" s="36"/>
      <c r="S69" s="36"/>
    </row>
    <row r="70" spans="1:19" x14ac:dyDescent="0.25">
      <c r="A70" s="36"/>
      <c r="B70" s="345"/>
      <c r="C70" s="345"/>
      <c r="D70" s="345"/>
      <c r="E70" s="345"/>
      <c r="H70" s="36"/>
      <c r="I70" s="36"/>
      <c r="J70" s="36"/>
      <c r="P70" s="44"/>
      <c r="Q70" s="36"/>
      <c r="R70" s="36"/>
      <c r="S70" s="36"/>
    </row>
  </sheetData>
  <mergeCells count="23">
    <mergeCell ref="A1:S1"/>
    <mergeCell ref="R2:S2"/>
    <mergeCell ref="B3:E3"/>
    <mergeCell ref="G3:J3"/>
    <mergeCell ref="S3:S5"/>
    <mergeCell ref="A4:A5"/>
    <mergeCell ref="B4:B5"/>
    <mergeCell ref="C4:E4"/>
    <mergeCell ref="F4:F5"/>
    <mergeCell ref="G4:G5"/>
    <mergeCell ref="H4:J4"/>
    <mergeCell ref="K4:K5"/>
    <mergeCell ref="P4:P5"/>
    <mergeCell ref="G2:P2"/>
    <mergeCell ref="A6:E6"/>
    <mergeCell ref="G6:J6"/>
    <mergeCell ref="B70:E70"/>
    <mergeCell ref="S56:S57"/>
    <mergeCell ref="S60:S61"/>
    <mergeCell ref="B66:E66"/>
    <mergeCell ref="B67:E67"/>
    <mergeCell ref="B68:E68"/>
    <mergeCell ref="B69:E69"/>
  </mergeCells>
  <printOptions horizontalCentered="1"/>
  <pageMargins left="0.28740157500000002" right="0.19055118110236199" top="0.49055118110236201" bottom="0.140551181" header="0.118110236220472" footer="0.118110236220472"/>
  <pageSetup paperSize="9" scale="90" firstPageNumber="43" orientation="portrait" useFirstPageNumber="1" r:id="rId1"/>
  <headerFooter>
    <oddHeader>&amp;C&amp;P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topLeftCell="F1" zoomScaleNormal="100" workbookViewId="0">
      <selection activeCell="Q7" sqref="Q7"/>
    </sheetView>
  </sheetViews>
  <sheetFormatPr defaultRowHeight="16.5" x14ac:dyDescent="0.25"/>
  <cols>
    <col min="1" max="1" width="5.28515625" style="67" hidden="1" customWidth="1"/>
    <col min="2" max="2" width="46.28515625" style="67" hidden="1" customWidth="1"/>
    <col min="3" max="5" width="7.42578125" style="85" hidden="1" customWidth="1"/>
    <col min="6" max="6" width="5.7109375" style="85" customWidth="1"/>
    <col min="7" max="7" width="51.7109375" style="67" customWidth="1"/>
    <col min="8" max="8" width="11.42578125" style="207" customWidth="1"/>
    <col min="9" max="9" width="16.42578125" style="85" customWidth="1"/>
    <col min="10" max="10" width="13.42578125" style="85" customWidth="1"/>
    <col min="11" max="11" width="12" style="85" hidden="1" customWidth="1"/>
    <col min="12" max="12" width="33.5703125" style="67" hidden="1" customWidth="1"/>
    <col min="13" max="15" width="0" style="67" hidden="1" customWidth="1"/>
    <col min="16" max="256" width="9.140625" style="67"/>
    <col min="257" max="257" width="5.28515625" style="67" customWidth="1"/>
    <col min="258" max="258" width="46.28515625" style="67" customWidth="1"/>
    <col min="259" max="261" width="7.42578125" style="67" customWidth="1"/>
    <col min="262" max="262" width="5.7109375" style="67" customWidth="1"/>
    <col min="263" max="263" width="49.7109375" style="67" customWidth="1"/>
    <col min="264" max="264" width="9.140625" style="67" bestFit="1" customWidth="1"/>
    <col min="265" max="266" width="7.42578125" style="67" customWidth="1"/>
    <col min="267" max="267" width="12" style="67" customWidth="1"/>
    <col min="268" max="268" width="33.5703125" style="67" customWidth="1"/>
    <col min="269" max="512" width="9.140625" style="67"/>
    <col min="513" max="513" width="5.28515625" style="67" customWidth="1"/>
    <col min="514" max="514" width="46.28515625" style="67" customWidth="1"/>
    <col min="515" max="517" width="7.42578125" style="67" customWidth="1"/>
    <col min="518" max="518" width="5.7109375" style="67" customWidth="1"/>
    <col min="519" max="519" width="49.7109375" style="67" customWidth="1"/>
    <col min="520" max="520" width="9.140625" style="67" bestFit="1" customWidth="1"/>
    <col min="521" max="522" width="7.42578125" style="67" customWidth="1"/>
    <col min="523" max="523" width="12" style="67" customWidth="1"/>
    <col min="524" max="524" width="33.5703125" style="67" customWidth="1"/>
    <col min="525" max="768" width="9.140625" style="67"/>
    <col min="769" max="769" width="5.28515625" style="67" customWidth="1"/>
    <col min="770" max="770" width="46.28515625" style="67" customWidth="1"/>
    <col min="771" max="773" width="7.42578125" style="67" customWidth="1"/>
    <col min="774" max="774" width="5.7109375" style="67" customWidth="1"/>
    <col min="775" max="775" width="49.7109375" style="67" customWidth="1"/>
    <col min="776" max="776" width="9.140625" style="67" bestFit="1" customWidth="1"/>
    <col min="777" max="778" width="7.42578125" style="67" customWidth="1"/>
    <col min="779" max="779" width="12" style="67" customWidth="1"/>
    <col min="780" max="780" width="33.5703125" style="67" customWidth="1"/>
    <col min="781" max="1024" width="9.140625" style="67"/>
    <col min="1025" max="1025" width="5.28515625" style="67" customWidth="1"/>
    <col min="1026" max="1026" width="46.28515625" style="67" customWidth="1"/>
    <col min="1027" max="1029" width="7.42578125" style="67" customWidth="1"/>
    <col min="1030" max="1030" width="5.7109375" style="67" customWidth="1"/>
    <col min="1031" max="1031" width="49.7109375" style="67" customWidth="1"/>
    <col min="1032" max="1032" width="9.140625" style="67" bestFit="1" customWidth="1"/>
    <col min="1033" max="1034" width="7.42578125" style="67" customWidth="1"/>
    <col min="1035" max="1035" width="12" style="67" customWidth="1"/>
    <col min="1036" max="1036" width="33.5703125" style="67" customWidth="1"/>
    <col min="1037" max="1280" width="9.140625" style="67"/>
    <col min="1281" max="1281" width="5.28515625" style="67" customWidth="1"/>
    <col min="1282" max="1282" width="46.28515625" style="67" customWidth="1"/>
    <col min="1283" max="1285" width="7.42578125" style="67" customWidth="1"/>
    <col min="1286" max="1286" width="5.7109375" style="67" customWidth="1"/>
    <col min="1287" max="1287" width="49.7109375" style="67" customWidth="1"/>
    <col min="1288" max="1288" width="9.140625" style="67" bestFit="1" customWidth="1"/>
    <col min="1289" max="1290" width="7.42578125" style="67" customWidth="1"/>
    <col min="1291" max="1291" width="12" style="67" customWidth="1"/>
    <col min="1292" max="1292" width="33.5703125" style="67" customWidth="1"/>
    <col min="1293" max="1536" width="9.140625" style="67"/>
    <col min="1537" max="1537" width="5.28515625" style="67" customWidth="1"/>
    <col min="1538" max="1538" width="46.28515625" style="67" customWidth="1"/>
    <col min="1539" max="1541" width="7.42578125" style="67" customWidth="1"/>
    <col min="1542" max="1542" width="5.7109375" style="67" customWidth="1"/>
    <col min="1543" max="1543" width="49.7109375" style="67" customWidth="1"/>
    <col min="1544" max="1544" width="9.140625" style="67" bestFit="1" customWidth="1"/>
    <col min="1545" max="1546" width="7.42578125" style="67" customWidth="1"/>
    <col min="1547" max="1547" width="12" style="67" customWidth="1"/>
    <col min="1548" max="1548" width="33.5703125" style="67" customWidth="1"/>
    <col min="1549" max="1792" width="9.140625" style="67"/>
    <col min="1793" max="1793" width="5.28515625" style="67" customWidth="1"/>
    <col min="1794" max="1794" width="46.28515625" style="67" customWidth="1"/>
    <col min="1795" max="1797" width="7.42578125" style="67" customWidth="1"/>
    <col min="1798" max="1798" width="5.7109375" style="67" customWidth="1"/>
    <col min="1799" max="1799" width="49.7109375" style="67" customWidth="1"/>
    <col min="1800" max="1800" width="9.140625" style="67" bestFit="1" customWidth="1"/>
    <col min="1801" max="1802" width="7.42578125" style="67" customWidth="1"/>
    <col min="1803" max="1803" width="12" style="67" customWidth="1"/>
    <col min="1804" max="1804" width="33.5703125" style="67" customWidth="1"/>
    <col min="1805" max="2048" width="9.140625" style="67"/>
    <col min="2049" max="2049" width="5.28515625" style="67" customWidth="1"/>
    <col min="2050" max="2050" width="46.28515625" style="67" customWidth="1"/>
    <col min="2051" max="2053" width="7.42578125" style="67" customWidth="1"/>
    <col min="2054" max="2054" width="5.7109375" style="67" customWidth="1"/>
    <col min="2055" max="2055" width="49.7109375" style="67" customWidth="1"/>
    <col min="2056" max="2056" width="9.140625" style="67" bestFit="1" customWidth="1"/>
    <col min="2057" max="2058" width="7.42578125" style="67" customWidth="1"/>
    <col min="2059" max="2059" width="12" style="67" customWidth="1"/>
    <col min="2060" max="2060" width="33.5703125" style="67" customWidth="1"/>
    <col min="2061" max="2304" width="9.140625" style="67"/>
    <col min="2305" max="2305" width="5.28515625" style="67" customWidth="1"/>
    <col min="2306" max="2306" width="46.28515625" style="67" customWidth="1"/>
    <col min="2307" max="2309" width="7.42578125" style="67" customWidth="1"/>
    <col min="2310" max="2310" width="5.7109375" style="67" customWidth="1"/>
    <col min="2311" max="2311" width="49.7109375" style="67" customWidth="1"/>
    <col min="2312" max="2312" width="9.140625" style="67" bestFit="1" customWidth="1"/>
    <col min="2313" max="2314" width="7.42578125" style="67" customWidth="1"/>
    <col min="2315" max="2315" width="12" style="67" customWidth="1"/>
    <col min="2316" max="2316" width="33.5703125" style="67" customWidth="1"/>
    <col min="2317" max="2560" width="9.140625" style="67"/>
    <col min="2561" max="2561" width="5.28515625" style="67" customWidth="1"/>
    <col min="2562" max="2562" width="46.28515625" style="67" customWidth="1"/>
    <col min="2563" max="2565" width="7.42578125" style="67" customWidth="1"/>
    <col min="2566" max="2566" width="5.7109375" style="67" customWidth="1"/>
    <col min="2567" max="2567" width="49.7109375" style="67" customWidth="1"/>
    <col min="2568" max="2568" width="9.140625" style="67" bestFit="1" customWidth="1"/>
    <col min="2569" max="2570" width="7.42578125" style="67" customWidth="1"/>
    <col min="2571" max="2571" width="12" style="67" customWidth="1"/>
    <col min="2572" max="2572" width="33.5703125" style="67" customWidth="1"/>
    <col min="2573" max="2816" width="9.140625" style="67"/>
    <col min="2817" max="2817" width="5.28515625" style="67" customWidth="1"/>
    <col min="2818" max="2818" width="46.28515625" style="67" customWidth="1"/>
    <col min="2819" max="2821" width="7.42578125" style="67" customWidth="1"/>
    <col min="2822" max="2822" width="5.7109375" style="67" customWidth="1"/>
    <col min="2823" max="2823" width="49.7109375" style="67" customWidth="1"/>
    <col min="2824" max="2824" width="9.140625" style="67" bestFit="1" customWidth="1"/>
    <col min="2825" max="2826" width="7.42578125" style="67" customWidth="1"/>
    <col min="2827" max="2827" width="12" style="67" customWidth="1"/>
    <col min="2828" max="2828" width="33.5703125" style="67" customWidth="1"/>
    <col min="2829" max="3072" width="9.140625" style="67"/>
    <col min="3073" max="3073" width="5.28515625" style="67" customWidth="1"/>
    <col min="3074" max="3074" width="46.28515625" style="67" customWidth="1"/>
    <col min="3075" max="3077" width="7.42578125" style="67" customWidth="1"/>
    <col min="3078" max="3078" width="5.7109375" style="67" customWidth="1"/>
    <col min="3079" max="3079" width="49.7109375" style="67" customWidth="1"/>
    <col min="3080" max="3080" width="9.140625" style="67" bestFit="1" customWidth="1"/>
    <col min="3081" max="3082" width="7.42578125" style="67" customWidth="1"/>
    <col min="3083" max="3083" width="12" style="67" customWidth="1"/>
    <col min="3084" max="3084" width="33.5703125" style="67" customWidth="1"/>
    <col min="3085" max="3328" width="9.140625" style="67"/>
    <col min="3329" max="3329" width="5.28515625" style="67" customWidth="1"/>
    <col min="3330" max="3330" width="46.28515625" style="67" customWidth="1"/>
    <col min="3331" max="3333" width="7.42578125" style="67" customWidth="1"/>
    <col min="3334" max="3334" width="5.7109375" style="67" customWidth="1"/>
    <col min="3335" max="3335" width="49.7109375" style="67" customWidth="1"/>
    <col min="3336" max="3336" width="9.140625" style="67" bestFit="1" customWidth="1"/>
    <col min="3337" max="3338" width="7.42578125" style="67" customWidth="1"/>
    <col min="3339" max="3339" width="12" style="67" customWidth="1"/>
    <col min="3340" max="3340" width="33.5703125" style="67" customWidth="1"/>
    <col min="3341" max="3584" width="9.140625" style="67"/>
    <col min="3585" max="3585" width="5.28515625" style="67" customWidth="1"/>
    <col min="3586" max="3586" width="46.28515625" style="67" customWidth="1"/>
    <col min="3587" max="3589" width="7.42578125" style="67" customWidth="1"/>
    <col min="3590" max="3590" width="5.7109375" style="67" customWidth="1"/>
    <col min="3591" max="3591" width="49.7109375" style="67" customWidth="1"/>
    <col min="3592" max="3592" width="9.140625" style="67" bestFit="1" customWidth="1"/>
    <col min="3593" max="3594" width="7.42578125" style="67" customWidth="1"/>
    <col min="3595" max="3595" width="12" style="67" customWidth="1"/>
    <col min="3596" max="3596" width="33.5703125" style="67" customWidth="1"/>
    <col min="3597" max="3840" width="9.140625" style="67"/>
    <col min="3841" max="3841" width="5.28515625" style="67" customWidth="1"/>
    <col min="3842" max="3842" width="46.28515625" style="67" customWidth="1"/>
    <col min="3843" max="3845" width="7.42578125" style="67" customWidth="1"/>
    <col min="3846" max="3846" width="5.7109375" style="67" customWidth="1"/>
    <col min="3847" max="3847" width="49.7109375" style="67" customWidth="1"/>
    <col min="3848" max="3848" width="9.140625" style="67" bestFit="1" customWidth="1"/>
    <col min="3849" max="3850" width="7.42578125" style="67" customWidth="1"/>
    <col min="3851" max="3851" width="12" style="67" customWidth="1"/>
    <col min="3852" max="3852" width="33.5703125" style="67" customWidth="1"/>
    <col min="3853" max="4096" width="9.140625" style="67"/>
    <col min="4097" max="4097" width="5.28515625" style="67" customWidth="1"/>
    <col min="4098" max="4098" width="46.28515625" style="67" customWidth="1"/>
    <col min="4099" max="4101" width="7.42578125" style="67" customWidth="1"/>
    <col min="4102" max="4102" width="5.7109375" style="67" customWidth="1"/>
    <col min="4103" max="4103" width="49.7109375" style="67" customWidth="1"/>
    <col min="4104" max="4104" width="9.140625" style="67" bestFit="1" customWidth="1"/>
    <col min="4105" max="4106" width="7.42578125" style="67" customWidth="1"/>
    <col min="4107" max="4107" width="12" style="67" customWidth="1"/>
    <col min="4108" max="4108" width="33.5703125" style="67" customWidth="1"/>
    <col min="4109" max="4352" width="9.140625" style="67"/>
    <col min="4353" max="4353" width="5.28515625" style="67" customWidth="1"/>
    <col min="4354" max="4354" width="46.28515625" style="67" customWidth="1"/>
    <col min="4355" max="4357" width="7.42578125" style="67" customWidth="1"/>
    <col min="4358" max="4358" width="5.7109375" style="67" customWidth="1"/>
    <col min="4359" max="4359" width="49.7109375" style="67" customWidth="1"/>
    <col min="4360" max="4360" width="9.140625" style="67" bestFit="1" customWidth="1"/>
    <col min="4361" max="4362" width="7.42578125" style="67" customWidth="1"/>
    <col min="4363" max="4363" width="12" style="67" customWidth="1"/>
    <col min="4364" max="4364" width="33.5703125" style="67" customWidth="1"/>
    <col min="4365" max="4608" width="9.140625" style="67"/>
    <col min="4609" max="4609" width="5.28515625" style="67" customWidth="1"/>
    <col min="4610" max="4610" width="46.28515625" style="67" customWidth="1"/>
    <col min="4611" max="4613" width="7.42578125" style="67" customWidth="1"/>
    <col min="4614" max="4614" width="5.7109375" style="67" customWidth="1"/>
    <col min="4615" max="4615" width="49.7109375" style="67" customWidth="1"/>
    <col min="4616" max="4616" width="9.140625" style="67" bestFit="1" customWidth="1"/>
    <col min="4617" max="4618" width="7.42578125" style="67" customWidth="1"/>
    <col min="4619" max="4619" width="12" style="67" customWidth="1"/>
    <col min="4620" max="4620" width="33.5703125" style="67" customWidth="1"/>
    <col min="4621" max="4864" width="9.140625" style="67"/>
    <col min="4865" max="4865" width="5.28515625" style="67" customWidth="1"/>
    <col min="4866" max="4866" width="46.28515625" style="67" customWidth="1"/>
    <col min="4867" max="4869" width="7.42578125" style="67" customWidth="1"/>
    <col min="4870" max="4870" width="5.7109375" style="67" customWidth="1"/>
    <col min="4871" max="4871" width="49.7109375" style="67" customWidth="1"/>
    <col min="4872" max="4872" width="9.140625" style="67" bestFit="1" customWidth="1"/>
    <col min="4873" max="4874" width="7.42578125" style="67" customWidth="1"/>
    <col min="4875" max="4875" width="12" style="67" customWidth="1"/>
    <col min="4876" max="4876" width="33.5703125" style="67" customWidth="1"/>
    <col min="4877" max="5120" width="9.140625" style="67"/>
    <col min="5121" max="5121" width="5.28515625" style="67" customWidth="1"/>
    <col min="5122" max="5122" width="46.28515625" style="67" customWidth="1"/>
    <col min="5123" max="5125" width="7.42578125" style="67" customWidth="1"/>
    <col min="5126" max="5126" width="5.7109375" style="67" customWidth="1"/>
    <col min="5127" max="5127" width="49.7109375" style="67" customWidth="1"/>
    <col min="5128" max="5128" width="9.140625" style="67" bestFit="1" customWidth="1"/>
    <col min="5129" max="5130" width="7.42578125" style="67" customWidth="1"/>
    <col min="5131" max="5131" width="12" style="67" customWidth="1"/>
    <col min="5132" max="5132" width="33.5703125" style="67" customWidth="1"/>
    <col min="5133" max="5376" width="9.140625" style="67"/>
    <col min="5377" max="5377" width="5.28515625" style="67" customWidth="1"/>
    <col min="5378" max="5378" width="46.28515625" style="67" customWidth="1"/>
    <col min="5379" max="5381" width="7.42578125" style="67" customWidth="1"/>
    <col min="5382" max="5382" width="5.7109375" style="67" customWidth="1"/>
    <col min="5383" max="5383" width="49.7109375" style="67" customWidth="1"/>
    <col min="5384" max="5384" width="9.140625" style="67" bestFit="1" customWidth="1"/>
    <col min="5385" max="5386" width="7.42578125" style="67" customWidth="1"/>
    <col min="5387" max="5387" width="12" style="67" customWidth="1"/>
    <col min="5388" max="5388" width="33.5703125" style="67" customWidth="1"/>
    <col min="5389" max="5632" width="9.140625" style="67"/>
    <col min="5633" max="5633" width="5.28515625" style="67" customWidth="1"/>
    <col min="5634" max="5634" width="46.28515625" style="67" customWidth="1"/>
    <col min="5635" max="5637" width="7.42578125" style="67" customWidth="1"/>
    <col min="5638" max="5638" width="5.7109375" style="67" customWidth="1"/>
    <col min="5639" max="5639" width="49.7109375" style="67" customWidth="1"/>
    <col min="5640" max="5640" width="9.140625" style="67" bestFit="1" customWidth="1"/>
    <col min="5641" max="5642" width="7.42578125" style="67" customWidth="1"/>
    <col min="5643" max="5643" width="12" style="67" customWidth="1"/>
    <col min="5644" max="5644" width="33.5703125" style="67" customWidth="1"/>
    <col min="5645" max="5888" width="9.140625" style="67"/>
    <col min="5889" max="5889" width="5.28515625" style="67" customWidth="1"/>
    <col min="5890" max="5890" width="46.28515625" style="67" customWidth="1"/>
    <col min="5891" max="5893" width="7.42578125" style="67" customWidth="1"/>
    <col min="5894" max="5894" width="5.7109375" style="67" customWidth="1"/>
    <col min="5895" max="5895" width="49.7109375" style="67" customWidth="1"/>
    <col min="5896" max="5896" width="9.140625" style="67" bestFit="1" customWidth="1"/>
    <col min="5897" max="5898" width="7.42578125" style="67" customWidth="1"/>
    <col min="5899" max="5899" width="12" style="67" customWidth="1"/>
    <col min="5900" max="5900" width="33.5703125" style="67" customWidth="1"/>
    <col min="5901" max="6144" width="9.140625" style="67"/>
    <col min="6145" max="6145" width="5.28515625" style="67" customWidth="1"/>
    <col min="6146" max="6146" width="46.28515625" style="67" customWidth="1"/>
    <col min="6147" max="6149" width="7.42578125" style="67" customWidth="1"/>
    <col min="6150" max="6150" width="5.7109375" style="67" customWidth="1"/>
    <col min="6151" max="6151" width="49.7109375" style="67" customWidth="1"/>
    <col min="6152" max="6152" width="9.140625" style="67" bestFit="1" customWidth="1"/>
    <col min="6153" max="6154" width="7.42578125" style="67" customWidth="1"/>
    <col min="6155" max="6155" width="12" style="67" customWidth="1"/>
    <col min="6156" max="6156" width="33.5703125" style="67" customWidth="1"/>
    <col min="6157" max="6400" width="9.140625" style="67"/>
    <col min="6401" max="6401" width="5.28515625" style="67" customWidth="1"/>
    <col min="6402" max="6402" width="46.28515625" style="67" customWidth="1"/>
    <col min="6403" max="6405" width="7.42578125" style="67" customWidth="1"/>
    <col min="6406" max="6406" width="5.7109375" style="67" customWidth="1"/>
    <col min="6407" max="6407" width="49.7109375" style="67" customWidth="1"/>
    <col min="6408" max="6408" width="9.140625" style="67" bestFit="1" customWidth="1"/>
    <col min="6409" max="6410" width="7.42578125" style="67" customWidth="1"/>
    <col min="6411" max="6411" width="12" style="67" customWidth="1"/>
    <col min="6412" max="6412" width="33.5703125" style="67" customWidth="1"/>
    <col min="6413" max="6656" width="9.140625" style="67"/>
    <col min="6657" max="6657" width="5.28515625" style="67" customWidth="1"/>
    <col min="6658" max="6658" width="46.28515625" style="67" customWidth="1"/>
    <col min="6659" max="6661" width="7.42578125" style="67" customWidth="1"/>
    <col min="6662" max="6662" width="5.7109375" style="67" customWidth="1"/>
    <col min="6663" max="6663" width="49.7109375" style="67" customWidth="1"/>
    <col min="6664" max="6664" width="9.140625" style="67" bestFit="1" customWidth="1"/>
    <col min="6665" max="6666" width="7.42578125" style="67" customWidth="1"/>
    <col min="6667" max="6667" width="12" style="67" customWidth="1"/>
    <col min="6668" max="6668" width="33.5703125" style="67" customWidth="1"/>
    <col min="6669" max="6912" width="9.140625" style="67"/>
    <col min="6913" max="6913" width="5.28515625" style="67" customWidth="1"/>
    <col min="6914" max="6914" width="46.28515625" style="67" customWidth="1"/>
    <col min="6915" max="6917" width="7.42578125" style="67" customWidth="1"/>
    <col min="6918" max="6918" width="5.7109375" style="67" customWidth="1"/>
    <col min="6919" max="6919" width="49.7109375" style="67" customWidth="1"/>
    <col min="6920" max="6920" width="9.140625" style="67" bestFit="1" customWidth="1"/>
    <col min="6921" max="6922" width="7.42578125" style="67" customWidth="1"/>
    <col min="6923" max="6923" width="12" style="67" customWidth="1"/>
    <col min="6924" max="6924" width="33.5703125" style="67" customWidth="1"/>
    <col min="6925" max="7168" width="9.140625" style="67"/>
    <col min="7169" max="7169" width="5.28515625" style="67" customWidth="1"/>
    <col min="7170" max="7170" width="46.28515625" style="67" customWidth="1"/>
    <col min="7171" max="7173" width="7.42578125" style="67" customWidth="1"/>
    <col min="7174" max="7174" width="5.7109375" style="67" customWidth="1"/>
    <col min="7175" max="7175" width="49.7109375" style="67" customWidth="1"/>
    <col min="7176" max="7176" width="9.140625" style="67" bestFit="1" customWidth="1"/>
    <col min="7177" max="7178" width="7.42578125" style="67" customWidth="1"/>
    <col min="7179" max="7179" width="12" style="67" customWidth="1"/>
    <col min="7180" max="7180" width="33.5703125" style="67" customWidth="1"/>
    <col min="7181" max="7424" width="9.140625" style="67"/>
    <col min="7425" max="7425" width="5.28515625" style="67" customWidth="1"/>
    <col min="7426" max="7426" width="46.28515625" style="67" customWidth="1"/>
    <col min="7427" max="7429" width="7.42578125" style="67" customWidth="1"/>
    <col min="7430" max="7430" width="5.7109375" style="67" customWidth="1"/>
    <col min="7431" max="7431" width="49.7109375" style="67" customWidth="1"/>
    <col min="7432" max="7432" width="9.140625" style="67" bestFit="1" customWidth="1"/>
    <col min="7433" max="7434" width="7.42578125" style="67" customWidth="1"/>
    <col min="7435" max="7435" width="12" style="67" customWidth="1"/>
    <col min="7436" max="7436" width="33.5703125" style="67" customWidth="1"/>
    <col min="7437" max="7680" width="9.140625" style="67"/>
    <col min="7681" max="7681" width="5.28515625" style="67" customWidth="1"/>
    <col min="7682" max="7682" width="46.28515625" style="67" customWidth="1"/>
    <col min="7683" max="7685" width="7.42578125" style="67" customWidth="1"/>
    <col min="7686" max="7686" width="5.7109375" style="67" customWidth="1"/>
    <col min="7687" max="7687" width="49.7109375" style="67" customWidth="1"/>
    <col min="7688" max="7688" width="9.140625" style="67" bestFit="1" customWidth="1"/>
    <col min="7689" max="7690" width="7.42578125" style="67" customWidth="1"/>
    <col min="7691" max="7691" width="12" style="67" customWidth="1"/>
    <col min="7692" max="7692" width="33.5703125" style="67" customWidth="1"/>
    <col min="7693" max="7936" width="9.140625" style="67"/>
    <col min="7937" max="7937" width="5.28515625" style="67" customWidth="1"/>
    <col min="7938" max="7938" width="46.28515625" style="67" customWidth="1"/>
    <col min="7939" max="7941" width="7.42578125" style="67" customWidth="1"/>
    <col min="7942" max="7942" width="5.7109375" style="67" customWidth="1"/>
    <col min="7943" max="7943" width="49.7109375" style="67" customWidth="1"/>
    <col min="7944" max="7944" width="9.140625" style="67" bestFit="1" customWidth="1"/>
    <col min="7945" max="7946" width="7.42578125" style="67" customWidth="1"/>
    <col min="7947" max="7947" width="12" style="67" customWidth="1"/>
    <col min="7948" max="7948" width="33.5703125" style="67" customWidth="1"/>
    <col min="7949" max="8192" width="9.140625" style="67"/>
    <col min="8193" max="8193" width="5.28515625" style="67" customWidth="1"/>
    <col min="8194" max="8194" width="46.28515625" style="67" customWidth="1"/>
    <col min="8195" max="8197" width="7.42578125" style="67" customWidth="1"/>
    <col min="8198" max="8198" width="5.7109375" style="67" customWidth="1"/>
    <col min="8199" max="8199" width="49.7109375" style="67" customWidth="1"/>
    <col min="8200" max="8200" width="9.140625" style="67" bestFit="1" customWidth="1"/>
    <col min="8201" max="8202" width="7.42578125" style="67" customWidth="1"/>
    <col min="8203" max="8203" width="12" style="67" customWidth="1"/>
    <col min="8204" max="8204" width="33.5703125" style="67" customWidth="1"/>
    <col min="8205" max="8448" width="9.140625" style="67"/>
    <col min="8449" max="8449" width="5.28515625" style="67" customWidth="1"/>
    <col min="8450" max="8450" width="46.28515625" style="67" customWidth="1"/>
    <col min="8451" max="8453" width="7.42578125" style="67" customWidth="1"/>
    <col min="8454" max="8454" width="5.7109375" style="67" customWidth="1"/>
    <col min="8455" max="8455" width="49.7109375" style="67" customWidth="1"/>
    <col min="8456" max="8456" width="9.140625" style="67" bestFit="1" customWidth="1"/>
    <col min="8457" max="8458" width="7.42578125" style="67" customWidth="1"/>
    <col min="8459" max="8459" width="12" style="67" customWidth="1"/>
    <col min="8460" max="8460" width="33.5703125" style="67" customWidth="1"/>
    <col min="8461" max="8704" width="9.140625" style="67"/>
    <col min="8705" max="8705" width="5.28515625" style="67" customWidth="1"/>
    <col min="8706" max="8706" width="46.28515625" style="67" customWidth="1"/>
    <col min="8707" max="8709" width="7.42578125" style="67" customWidth="1"/>
    <col min="8710" max="8710" width="5.7109375" style="67" customWidth="1"/>
    <col min="8711" max="8711" width="49.7109375" style="67" customWidth="1"/>
    <col min="8712" max="8712" width="9.140625" style="67" bestFit="1" customWidth="1"/>
    <col min="8713" max="8714" width="7.42578125" style="67" customWidth="1"/>
    <col min="8715" max="8715" width="12" style="67" customWidth="1"/>
    <col min="8716" max="8716" width="33.5703125" style="67" customWidth="1"/>
    <col min="8717" max="8960" width="9.140625" style="67"/>
    <col min="8961" max="8961" width="5.28515625" style="67" customWidth="1"/>
    <col min="8962" max="8962" width="46.28515625" style="67" customWidth="1"/>
    <col min="8963" max="8965" width="7.42578125" style="67" customWidth="1"/>
    <col min="8966" max="8966" width="5.7109375" style="67" customWidth="1"/>
    <col min="8967" max="8967" width="49.7109375" style="67" customWidth="1"/>
    <col min="8968" max="8968" width="9.140625" style="67" bestFit="1" customWidth="1"/>
    <col min="8969" max="8970" width="7.42578125" style="67" customWidth="1"/>
    <col min="8971" max="8971" width="12" style="67" customWidth="1"/>
    <col min="8972" max="8972" width="33.5703125" style="67" customWidth="1"/>
    <col min="8973" max="9216" width="9.140625" style="67"/>
    <col min="9217" max="9217" width="5.28515625" style="67" customWidth="1"/>
    <col min="9218" max="9218" width="46.28515625" style="67" customWidth="1"/>
    <col min="9219" max="9221" width="7.42578125" style="67" customWidth="1"/>
    <col min="9222" max="9222" width="5.7109375" style="67" customWidth="1"/>
    <col min="9223" max="9223" width="49.7109375" style="67" customWidth="1"/>
    <col min="9224" max="9224" width="9.140625" style="67" bestFit="1" customWidth="1"/>
    <col min="9225" max="9226" width="7.42578125" style="67" customWidth="1"/>
    <col min="9227" max="9227" width="12" style="67" customWidth="1"/>
    <col min="9228" max="9228" width="33.5703125" style="67" customWidth="1"/>
    <col min="9229" max="9472" width="9.140625" style="67"/>
    <col min="9473" max="9473" width="5.28515625" style="67" customWidth="1"/>
    <col min="9474" max="9474" width="46.28515625" style="67" customWidth="1"/>
    <col min="9475" max="9477" width="7.42578125" style="67" customWidth="1"/>
    <col min="9478" max="9478" width="5.7109375" style="67" customWidth="1"/>
    <col min="9479" max="9479" width="49.7109375" style="67" customWidth="1"/>
    <col min="9480" max="9480" width="9.140625" style="67" bestFit="1" customWidth="1"/>
    <col min="9481" max="9482" width="7.42578125" style="67" customWidth="1"/>
    <col min="9483" max="9483" width="12" style="67" customWidth="1"/>
    <col min="9484" max="9484" width="33.5703125" style="67" customWidth="1"/>
    <col min="9485" max="9728" width="9.140625" style="67"/>
    <col min="9729" max="9729" width="5.28515625" style="67" customWidth="1"/>
    <col min="9730" max="9730" width="46.28515625" style="67" customWidth="1"/>
    <col min="9731" max="9733" width="7.42578125" style="67" customWidth="1"/>
    <col min="9734" max="9734" width="5.7109375" style="67" customWidth="1"/>
    <col min="9735" max="9735" width="49.7109375" style="67" customWidth="1"/>
    <col min="9736" max="9736" width="9.140625" style="67" bestFit="1" customWidth="1"/>
    <col min="9737" max="9738" width="7.42578125" style="67" customWidth="1"/>
    <col min="9739" max="9739" width="12" style="67" customWidth="1"/>
    <col min="9740" max="9740" width="33.5703125" style="67" customWidth="1"/>
    <col min="9741" max="9984" width="9.140625" style="67"/>
    <col min="9985" max="9985" width="5.28515625" style="67" customWidth="1"/>
    <col min="9986" max="9986" width="46.28515625" style="67" customWidth="1"/>
    <col min="9987" max="9989" width="7.42578125" style="67" customWidth="1"/>
    <col min="9990" max="9990" width="5.7109375" style="67" customWidth="1"/>
    <col min="9991" max="9991" width="49.7109375" style="67" customWidth="1"/>
    <col min="9992" max="9992" width="9.140625" style="67" bestFit="1" customWidth="1"/>
    <col min="9993" max="9994" width="7.42578125" style="67" customWidth="1"/>
    <col min="9995" max="9995" width="12" style="67" customWidth="1"/>
    <col min="9996" max="9996" width="33.5703125" style="67" customWidth="1"/>
    <col min="9997" max="10240" width="9.140625" style="67"/>
    <col min="10241" max="10241" width="5.28515625" style="67" customWidth="1"/>
    <col min="10242" max="10242" width="46.28515625" style="67" customWidth="1"/>
    <col min="10243" max="10245" width="7.42578125" style="67" customWidth="1"/>
    <col min="10246" max="10246" width="5.7109375" style="67" customWidth="1"/>
    <col min="10247" max="10247" width="49.7109375" style="67" customWidth="1"/>
    <col min="10248" max="10248" width="9.140625" style="67" bestFit="1" customWidth="1"/>
    <col min="10249" max="10250" width="7.42578125" style="67" customWidth="1"/>
    <col min="10251" max="10251" width="12" style="67" customWidth="1"/>
    <col min="10252" max="10252" width="33.5703125" style="67" customWidth="1"/>
    <col min="10253" max="10496" width="9.140625" style="67"/>
    <col min="10497" max="10497" width="5.28515625" style="67" customWidth="1"/>
    <col min="10498" max="10498" width="46.28515625" style="67" customWidth="1"/>
    <col min="10499" max="10501" width="7.42578125" style="67" customWidth="1"/>
    <col min="10502" max="10502" width="5.7109375" style="67" customWidth="1"/>
    <col min="10503" max="10503" width="49.7109375" style="67" customWidth="1"/>
    <col min="10504" max="10504" width="9.140625" style="67" bestFit="1" customWidth="1"/>
    <col min="10505" max="10506" width="7.42578125" style="67" customWidth="1"/>
    <col min="10507" max="10507" width="12" style="67" customWidth="1"/>
    <col min="10508" max="10508" width="33.5703125" style="67" customWidth="1"/>
    <col min="10509" max="10752" width="9.140625" style="67"/>
    <col min="10753" max="10753" width="5.28515625" style="67" customWidth="1"/>
    <col min="10754" max="10754" width="46.28515625" style="67" customWidth="1"/>
    <col min="10755" max="10757" width="7.42578125" style="67" customWidth="1"/>
    <col min="10758" max="10758" width="5.7109375" style="67" customWidth="1"/>
    <col min="10759" max="10759" width="49.7109375" style="67" customWidth="1"/>
    <col min="10760" max="10760" width="9.140625" style="67" bestFit="1" customWidth="1"/>
    <col min="10761" max="10762" width="7.42578125" style="67" customWidth="1"/>
    <col min="10763" max="10763" width="12" style="67" customWidth="1"/>
    <col min="10764" max="10764" width="33.5703125" style="67" customWidth="1"/>
    <col min="10765" max="11008" width="9.140625" style="67"/>
    <col min="11009" max="11009" width="5.28515625" style="67" customWidth="1"/>
    <col min="11010" max="11010" width="46.28515625" style="67" customWidth="1"/>
    <col min="11011" max="11013" width="7.42578125" style="67" customWidth="1"/>
    <col min="11014" max="11014" width="5.7109375" style="67" customWidth="1"/>
    <col min="11015" max="11015" width="49.7109375" style="67" customWidth="1"/>
    <col min="11016" max="11016" width="9.140625" style="67" bestFit="1" customWidth="1"/>
    <col min="11017" max="11018" width="7.42578125" style="67" customWidth="1"/>
    <col min="11019" max="11019" width="12" style="67" customWidth="1"/>
    <col min="11020" max="11020" width="33.5703125" style="67" customWidth="1"/>
    <col min="11021" max="11264" width="9.140625" style="67"/>
    <col min="11265" max="11265" width="5.28515625" style="67" customWidth="1"/>
    <col min="11266" max="11266" width="46.28515625" style="67" customWidth="1"/>
    <col min="11267" max="11269" width="7.42578125" style="67" customWidth="1"/>
    <col min="11270" max="11270" width="5.7109375" style="67" customWidth="1"/>
    <col min="11271" max="11271" width="49.7109375" style="67" customWidth="1"/>
    <col min="11272" max="11272" width="9.140625" style="67" bestFit="1" customWidth="1"/>
    <col min="11273" max="11274" width="7.42578125" style="67" customWidth="1"/>
    <col min="11275" max="11275" width="12" style="67" customWidth="1"/>
    <col min="11276" max="11276" width="33.5703125" style="67" customWidth="1"/>
    <col min="11277" max="11520" width="9.140625" style="67"/>
    <col min="11521" max="11521" width="5.28515625" style="67" customWidth="1"/>
    <col min="11522" max="11522" width="46.28515625" style="67" customWidth="1"/>
    <col min="11523" max="11525" width="7.42578125" style="67" customWidth="1"/>
    <col min="11526" max="11526" width="5.7109375" style="67" customWidth="1"/>
    <col min="11527" max="11527" width="49.7109375" style="67" customWidth="1"/>
    <col min="11528" max="11528" width="9.140625" style="67" bestFit="1" customWidth="1"/>
    <col min="11529" max="11530" width="7.42578125" style="67" customWidth="1"/>
    <col min="11531" max="11531" width="12" style="67" customWidth="1"/>
    <col min="11532" max="11532" width="33.5703125" style="67" customWidth="1"/>
    <col min="11533" max="11776" width="9.140625" style="67"/>
    <col min="11777" max="11777" width="5.28515625" style="67" customWidth="1"/>
    <col min="11778" max="11778" width="46.28515625" style="67" customWidth="1"/>
    <col min="11779" max="11781" width="7.42578125" style="67" customWidth="1"/>
    <col min="11782" max="11782" width="5.7109375" style="67" customWidth="1"/>
    <col min="11783" max="11783" width="49.7109375" style="67" customWidth="1"/>
    <col min="11784" max="11784" width="9.140625" style="67" bestFit="1" customWidth="1"/>
    <col min="11785" max="11786" width="7.42578125" style="67" customWidth="1"/>
    <col min="11787" max="11787" width="12" style="67" customWidth="1"/>
    <col min="11788" max="11788" width="33.5703125" style="67" customWidth="1"/>
    <col min="11789" max="12032" width="9.140625" style="67"/>
    <col min="12033" max="12033" width="5.28515625" style="67" customWidth="1"/>
    <col min="12034" max="12034" width="46.28515625" style="67" customWidth="1"/>
    <col min="12035" max="12037" width="7.42578125" style="67" customWidth="1"/>
    <col min="12038" max="12038" width="5.7109375" style="67" customWidth="1"/>
    <col min="12039" max="12039" width="49.7109375" style="67" customWidth="1"/>
    <col min="12040" max="12040" width="9.140625" style="67" bestFit="1" customWidth="1"/>
    <col min="12041" max="12042" width="7.42578125" style="67" customWidth="1"/>
    <col min="12043" max="12043" width="12" style="67" customWidth="1"/>
    <col min="12044" max="12044" width="33.5703125" style="67" customWidth="1"/>
    <col min="12045" max="12288" width="9.140625" style="67"/>
    <col min="12289" max="12289" width="5.28515625" style="67" customWidth="1"/>
    <col min="12290" max="12290" width="46.28515625" style="67" customWidth="1"/>
    <col min="12291" max="12293" width="7.42578125" style="67" customWidth="1"/>
    <col min="12294" max="12294" width="5.7109375" style="67" customWidth="1"/>
    <col min="12295" max="12295" width="49.7109375" style="67" customWidth="1"/>
    <col min="12296" max="12296" width="9.140625" style="67" bestFit="1" customWidth="1"/>
    <col min="12297" max="12298" width="7.42578125" style="67" customWidth="1"/>
    <col min="12299" max="12299" width="12" style="67" customWidth="1"/>
    <col min="12300" max="12300" width="33.5703125" style="67" customWidth="1"/>
    <col min="12301" max="12544" width="9.140625" style="67"/>
    <col min="12545" max="12545" width="5.28515625" style="67" customWidth="1"/>
    <col min="12546" max="12546" width="46.28515625" style="67" customWidth="1"/>
    <col min="12547" max="12549" width="7.42578125" style="67" customWidth="1"/>
    <col min="12550" max="12550" width="5.7109375" style="67" customWidth="1"/>
    <col min="12551" max="12551" width="49.7109375" style="67" customWidth="1"/>
    <col min="12552" max="12552" width="9.140625" style="67" bestFit="1" customWidth="1"/>
    <col min="12553" max="12554" width="7.42578125" style="67" customWidth="1"/>
    <col min="12555" max="12555" width="12" style="67" customWidth="1"/>
    <col min="12556" max="12556" width="33.5703125" style="67" customWidth="1"/>
    <col min="12557" max="12800" width="9.140625" style="67"/>
    <col min="12801" max="12801" width="5.28515625" style="67" customWidth="1"/>
    <col min="12802" max="12802" width="46.28515625" style="67" customWidth="1"/>
    <col min="12803" max="12805" width="7.42578125" style="67" customWidth="1"/>
    <col min="12806" max="12806" width="5.7109375" style="67" customWidth="1"/>
    <col min="12807" max="12807" width="49.7109375" style="67" customWidth="1"/>
    <col min="12808" max="12808" width="9.140625" style="67" bestFit="1" customWidth="1"/>
    <col min="12809" max="12810" width="7.42578125" style="67" customWidth="1"/>
    <col min="12811" max="12811" width="12" style="67" customWidth="1"/>
    <col min="12812" max="12812" width="33.5703125" style="67" customWidth="1"/>
    <col min="12813" max="13056" width="9.140625" style="67"/>
    <col min="13057" max="13057" width="5.28515625" style="67" customWidth="1"/>
    <col min="13058" max="13058" width="46.28515625" style="67" customWidth="1"/>
    <col min="13059" max="13061" width="7.42578125" style="67" customWidth="1"/>
    <col min="13062" max="13062" width="5.7109375" style="67" customWidth="1"/>
    <col min="13063" max="13063" width="49.7109375" style="67" customWidth="1"/>
    <col min="13064" max="13064" width="9.140625" style="67" bestFit="1" customWidth="1"/>
    <col min="13065" max="13066" width="7.42578125" style="67" customWidth="1"/>
    <col min="13067" max="13067" width="12" style="67" customWidth="1"/>
    <col min="13068" max="13068" width="33.5703125" style="67" customWidth="1"/>
    <col min="13069" max="13312" width="9.140625" style="67"/>
    <col min="13313" max="13313" width="5.28515625" style="67" customWidth="1"/>
    <col min="13314" max="13314" width="46.28515625" style="67" customWidth="1"/>
    <col min="13315" max="13317" width="7.42578125" style="67" customWidth="1"/>
    <col min="13318" max="13318" width="5.7109375" style="67" customWidth="1"/>
    <col min="13319" max="13319" width="49.7109375" style="67" customWidth="1"/>
    <col min="13320" max="13320" width="9.140625" style="67" bestFit="1" customWidth="1"/>
    <col min="13321" max="13322" width="7.42578125" style="67" customWidth="1"/>
    <col min="13323" max="13323" width="12" style="67" customWidth="1"/>
    <col min="13324" max="13324" width="33.5703125" style="67" customWidth="1"/>
    <col min="13325" max="13568" width="9.140625" style="67"/>
    <col min="13569" max="13569" width="5.28515625" style="67" customWidth="1"/>
    <col min="13570" max="13570" width="46.28515625" style="67" customWidth="1"/>
    <col min="13571" max="13573" width="7.42578125" style="67" customWidth="1"/>
    <col min="13574" max="13574" width="5.7109375" style="67" customWidth="1"/>
    <col min="13575" max="13575" width="49.7109375" style="67" customWidth="1"/>
    <col min="13576" max="13576" width="9.140625" style="67" bestFit="1" customWidth="1"/>
    <col min="13577" max="13578" width="7.42578125" style="67" customWidth="1"/>
    <col min="13579" max="13579" width="12" style="67" customWidth="1"/>
    <col min="13580" max="13580" width="33.5703125" style="67" customWidth="1"/>
    <col min="13581" max="13824" width="9.140625" style="67"/>
    <col min="13825" max="13825" width="5.28515625" style="67" customWidth="1"/>
    <col min="13826" max="13826" width="46.28515625" style="67" customWidth="1"/>
    <col min="13827" max="13829" width="7.42578125" style="67" customWidth="1"/>
    <col min="13830" max="13830" width="5.7109375" style="67" customWidth="1"/>
    <col min="13831" max="13831" width="49.7109375" style="67" customWidth="1"/>
    <col min="13832" max="13832" width="9.140625" style="67" bestFit="1" customWidth="1"/>
    <col min="13833" max="13834" width="7.42578125" style="67" customWidth="1"/>
    <col min="13835" max="13835" width="12" style="67" customWidth="1"/>
    <col min="13836" max="13836" width="33.5703125" style="67" customWidth="1"/>
    <col min="13837" max="14080" width="9.140625" style="67"/>
    <col min="14081" max="14081" width="5.28515625" style="67" customWidth="1"/>
    <col min="14082" max="14082" width="46.28515625" style="67" customWidth="1"/>
    <col min="14083" max="14085" width="7.42578125" style="67" customWidth="1"/>
    <col min="14086" max="14086" width="5.7109375" style="67" customWidth="1"/>
    <col min="14087" max="14087" width="49.7109375" style="67" customWidth="1"/>
    <col min="14088" max="14088" width="9.140625" style="67" bestFit="1" customWidth="1"/>
    <col min="14089" max="14090" width="7.42578125" style="67" customWidth="1"/>
    <col min="14091" max="14091" width="12" style="67" customWidth="1"/>
    <col min="14092" max="14092" width="33.5703125" style="67" customWidth="1"/>
    <col min="14093" max="14336" width="9.140625" style="67"/>
    <col min="14337" max="14337" width="5.28515625" style="67" customWidth="1"/>
    <col min="14338" max="14338" width="46.28515625" style="67" customWidth="1"/>
    <col min="14339" max="14341" width="7.42578125" style="67" customWidth="1"/>
    <col min="14342" max="14342" width="5.7109375" style="67" customWidth="1"/>
    <col min="14343" max="14343" width="49.7109375" style="67" customWidth="1"/>
    <col min="14344" max="14344" width="9.140625" style="67" bestFit="1" customWidth="1"/>
    <col min="14345" max="14346" width="7.42578125" style="67" customWidth="1"/>
    <col min="14347" max="14347" width="12" style="67" customWidth="1"/>
    <col min="14348" max="14348" width="33.5703125" style="67" customWidth="1"/>
    <col min="14349" max="14592" width="9.140625" style="67"/>
    <col min="14593" max="14593" width="5.28515625" style="67" customWidth="1"/>
    <col min="14594" max="14594" width="46.28515625" style="67" customWidth="1"/>
    <col min="14595" max="14597" width="7.42578125" style="67" customWidth="1"/>
    <col min="14598" max="14598" width="5.7109375" style="67" customWidth="1"/>
    <col min="14599" max="14599" width="49.7109375" style="67" customWidth="1"/>
    <col min="14600" max="14600" width="9.140625" style="67" bestFit="1" customWidth="1"/>
    <col min="14601" max="14602" width="7.42578125" style="67" customWidth="1"/>
    <col min="14603" max="14603" width="12" style="67" customWidth="1"/>
    <col min="14604" max="14604" width="33.5703125" style="67" customWidth="1"/>
    <col min="14605" max="14848" width="9.140625" style="67"/>
    <col min="14849" max="14849" width="5.28515625" style="67" customWidth="1"/>
    <col min="14850" max="14850" width="46.28515625" style="67" customWidth="1"/>
    <col min="14851" max="14853" width="7.42578125" style="67" customWidth="1"/>
    <col min="14854" max="14854" width="5.7109375" style="67" customWidth="1"/>
    <col min="14855" max="14855" width="49.7109375" style="67" customWidth="1"/>
    <col min="14856" max="14856" width="9.140625" style="67" bestFit="1" customWidth="1"/>
    <col min="14857" max="14858" width="7.42578125" style="67" customWidth="1"/>
    <col min="14859" max="14859" width="12" style="67" customWidth="1"/>
    <col min="14860" max="14860" width="33.5703125" style="67" customWidth="1"/>
    <col min="14861" max="15104" width="9.140625" style="67"/>
    <col min="15105" max="15105" width="5.28515625" style="67" customWidth="1"/>
    <col min="15106" max="15106" width="46.28515625" style="67" customWidth="1"/>
    <col min="15107" max="15109" width="7.42578125" style="67" customWidth="1"/>
    <col min="15110" max="15110" width="5.7109375" style="67" customWidth="1"/>
    <col min="15111" max="15111" width="49.7109375" style="67" customWidth="1"/>
    <col min="15112" max="15112" width="9.140625" style="67" bestFit="1" customWidth="1"/>
    <col min="15113" max="15114" width="7.42578125" style="67" customWidth="1"/>
    <col min="15115" max="15115" width="12" style="67" customWidth="1"/>
    <col min="15116" max="15116" width="33.5703125" style="67" customWidth="1"/>
    <col min="15117" max="15360" width="9.140625" style="67"/>
    <col min="15361" max="15361" width="5.28515625" style="67" customWidth="1"/>
    <col min="15362" max="15362" width="46.28515625" style="67" customWidth="1"/>
    <col min="15363" max="15365" width="7.42578125" style="67" customWidth="1"/>
    <col min="15366" max="15366" width="5.7109375" style="67" customWidth="1"/>
    <col min="15367" max="15367" width="49.7109375" style="67" customWidth="1"/>
    <col min="15368" max="15368" width="9.140625" style="67" bestFit="1" customWidth="1"/>
    <col min="15369" max="15370" width="7.42578125" style="67" customWidth="1"/>
    <col min="15371" max="15371" width="12" style="67" customWidth="1"/>
    <col min="15372" max="15372" width="33.5703125" style="67" customWidth="1"/>
    <col min="15373" max="15616" width="9.140625" style="67"/>
    <col min="15617" max="15617" width="5.28515625" style="67" customWidth="1"/>
    <col min="15618" max="15618" width="46.28515625" style="67" customWidth="1"/>
    <col min="15619" max="15621" width="7.42578125" style="67" customWidth="1"/>
    <col min="15622" max="15622" width="5.7109375" style="67" customWidth="1"/>
    <col min="15623" max="15623" width="49.7109375" style="67" customWidth="1"/>
    <col min="15624" max="15624" width="9.140625" style="67" bestFit="1" customWidth="1"/>
    <col min="15625" max="15626" width="7.42578125" style="67" customWidth="1"/>
    <col min="15627" max="15627" width="12" style="67" customWidth="1"/>
    <col min="15628" max="15628" width="33.5703125" style="67" customWidth="1"/>
    <col min="15629" max="15872" width="9.140625" style="67"/>
    <col min="15873" max="15873" width="5.28515625" style="67" customWidth="1"/>
    <col min="15874" max="15874" width="46.28515625" style="67" customWidth="1"/>
    <col min="15875" max="15877" width="7.42578125" style="67" customWidth="1"/>
    <col min="15878" max="15878" width="5.7109375" style="67" customWidth="1"/>
    <col min="15879" max="15879" width="49.7109375" style="67" customWidth="1"/>
    <col min="15880" max="15880" width="9.140625" style="67" bestFit="1" customWidth="1"/>
    <col min="15881" max="15882" width="7.42578125" style="67" customWidth="1"/>
    <col min="15883" max="15883" width="12" style="67" customWidth="1"/>
    <col min="15884" max="15884" width="33.5703125" style="67" customWidth="1"/>
    <col min="15885" max="16128" width="9.140625" style="67"/>
    <col min="16129" max="16129" width="5.28515625" style="67" customWidth="1"/>
    <col min="16130" max="16130" width="46.28515625" style="67" customWidth="1"/>
    <col min="16131" max="16133" width="7.42578125" style="67" customWidth="1"/>
    <col min="16134" max="16134" width="5.7109375" style="67" customWidth="1"/>
    <col min="16135" max="16135" width="49.7109375" style="67" customWidth="1"/>
    <col min="16136" max="16136" width="9.140625" style="67" bestFit="1" customWidth="1"/>
    <col min="16137" max="16138" width="7.42578125" style="67" customWidth="1"/>
    <col min="16139" max="16139" width="12" style="67" customWidth="1"/>
    <col min="16140" max="16140" width="33.5703125" style="67" customWidth="1"/>
    <col min="16141" max="16384" width="9.140625" style="67"/>
  </cols>
  <sheetData>
    <row r="1" spans="1:14" ht="30.75" customHeight="1" x14ac:dyDescent="0.25">
      <c r="A1" s="198"/>
      <c r="B1" s="198"/>
      <c r="C1" s="198"/>
      <c r="D1" s="198"/>
      <c r="E1" s="198"/>
      <c r="F1" s="280" t="s">
        <v>1317</v>
      </c>
      <c r="G1" s="280"/>
      <c r="H1" s="280"/>
      <c r="I1" s="280"/>
      <c r="J1" s="280"/>
      <c r="K1" s="83"/>
    </row>
    <row r="2" spans="1:14" ht="25.5" customHeight="1" thickBot="1" x14ac:dyDescent="0.3">
      <c r="A2" s="83"/>
      <c r="B2" s="83"/>
      <c r="C2" s="83"/>
      <c r="D2" s="83"/>
      <c r="E2" s="83"/>
      <c r="F2" s="83"/>
      <c r="G2" s="281" t="s">
        <v>962</v>
      </c>
      <c r="H2" s="281"/>
      <c r="I2" s="281"/>
      <c r="J2" s="281"/>
      <c r="K2" s="199"/>
    </row>
    <row r="3" spans="1:14" ht="17.25" thickTop="1" x14ac:dyDescent="0.25">
      <c r="A3" s="356" t="s">
        <v>0</v>
      </c>
      <c r="B3" s="282" t="s">
        <v>1</v>
      </c>
      <c r="C3" s="282" t="s">
        <v>2</v>
      </c>
      <c r="D3" s="282"/>
      <c r="E3" s="282"/>
      <c r="F3" s="282" t="s">
        <v>0</v>
      </c>
      <c r="G3" s="282" t="s">
        <v>1</v>
      </c>
      <c r="H3" s="282" t="s">
        <v>1135</v>
      </c>
      <c r="I3" s="282"/>
      <c r="J3" s="282"/>
      <c r="K3" s="83"/>
    </row>
    <row r="4" spans="1:14" ht="33" x14ac:dyDescent="0.25">
      <c r="A4" s="357"/>
      <c r="B4" s="282"/>
      <c r="C4" s="82" t="s">
        <v>6</v>
      </c>
      <c r="D4" s="82" t="s">
        <v>3</v>
      </c>
      <c r="E4" s="82" t="s">
        <v>7</v>
      </c>
      <c r="F4" s="282"/>
      <c r="G4" s="282"/>
      <c r="H4" s="82" t="s">
        <v>6</v>
      </c>
      <c r="I4" s="82" t="s">
        <v>3</v>
      </c>
      <c r="J4" s="82" t="s">
        <v>7</v>
      </c>
      <c r="K4" s="83"/>
    </row>
    <row r="5" spans="1:14" x14ac:dyDescent="0.25">
      <c r="A5" s="200" t="s">
        <v>9</v>
      </c>
      <c r="B5" s="84" t="s">
        <v>824</v>
      </c>
      <c r="C5" s="82"/>
      <c r="D5" s="82"/>
      <c r="E5" s="82"/>
      <c r="F5" s="82" t="s">
        <v>9</v>
      </c>
      <c r="G5" s="84" t="s">
        <v>824</v>
      </c>
      <c r="H5" s="82"/>
      <c r="I5" s="82"/>
      <c r="J5" s="82"/>
      <c r="K5" s="83"/>
    </row>
    <row r="6" spans="1:14" ht="38.25" customHeight="1" x14ac:dyDescent="0.25">
      <c r="A6" s="201">
        <v>1</v>
      </c>
      <c r="B6" s="90" t="s">
        <v>825</v>
      </c>
      <c r="C6" s="65">
        <v>450</v>
      </c>
      <c r="D6" s="65">
        <v>270</v>
      </c>
      <c r="E6" s="65">
        <v>135</v>
      </c>
      <c r="F6" s="65">
        <v>1</v>
      </c>
      <c r="G6" s="90" t="s">
        <v>825</v>
      </c>
      <c r="H6" s="57">
        <f>C6*1.1</f>
        <v>495.00000000000006</v>
      </c>
      <c r="I6" s="57">
        <f>D6*1.1</f>
        <v>297</v>
      </c>
      <c r="J6" s="57">
        <f>E6*1.1</f>
        <v>148.5</v>
      </c>
      <c r="K6" s="102"/>
      <c r="N6" s="202"/>
    </row>
    <row r="7" spans="1:14" ht="38.25" customHeight="1" x14ac:dyDescent="0.25">
      <c r="A7" s="201">
        <v>2</v>
      </c>
      <c r="B7" s="90" t="s">
        <v>826</v>
      </c>
      <c r="C7" s="65">
        <v>300</v>
      </c>
      <c r="D7" s="65">
        <v>150</v>
      </c>
      <c r="E7" s="65">
        <v>100</v>
      </c>
      <c r="F7" s="65">
        <v>2</v>
      </c>
      <c r="G7" s="90" t="s">
        <v>826</v>
      </c>
      <c r="H7" s="57">
        <f>C7*1.1</f>
        <v>330</v>
      </c>
      <c r="I7" s="57">
        <f t="shared" ref="I7:J75" si="0">D7*1.1</f>
        <v>165</v>
      </c>
      <c r="J7" s="57">
        <f t="shared" si="0"/>
        <v>110.00000000000001</v>
      </c>
      <c r="K7" s="102"/>
    </row>
    <row r="8" spans="1:14" x14ac:dyDescent="0.25">
      <c r="A8" s="201"/>
      <c r="B8" s="90"/>
      <c r="C8" s="65"/>
      <c r="D8" s="65"/>
      <c r="E8" s="65"/>
      <c r="F8" s="65">
        <v>3</v>
      </c>
      <c r="G8" s="90" t="s">
        <v>827</v>
      </c>
      <c r="H8" s="57">
        <v>2330</v>
      </c>
      <c r="I8" s="57"/>
      <c r="J8" s="57"/>
      <c r="K8" s="102"/>
      <c r="L8" s="355" t="s">
        <v>828</v>
      </c>
    </row>
    <row r="9" spans="1:14" ht="17.25" customHeight="1" x14ac:dyDescent="0.25">
      <c r="A9" s="201"/>
      <c r="B9" s="90"/>
      <c r="C9" s="65"/>
      <c r="D9" s="65"/>
      <c r="E9" s="65"/>
      <c r="F9" s="65">
        <v>4</v>
      </c>
      <c r="G9" s="90" t="s">
        <v>829</v>
      </c>
      <c r="H9" s="57">
        <v>2110</v>
      </c>
      <c r="I9" s="57"/>
      <c r="J9" s="57"/>
      <c r="K9" s="102"/>
      <c r="L9" s="355"/>
    </row>
    <row r="10" spans="1:14" ht="15.75" customHeight="1" x14ac:dyDescent="0.25">
      <c r="A10" s="201"/>
      <c r="B10" s="90"/>
      <c r="C10" s="65"/>
      <c r="D10" s="65"/>
      <c r="E10" s="65"/>
      <c r="F10" s="65">
        <v>5</v>
      </c>
      <c r="G10" s="90" t="s">
        <v>830</v>
      </c>
      <c r="H10" s="57">
        <v>1800</v>
      </c>
      <c r="I10" s="57"/>
      <c r="J10" s="57"/>
      <c r="K10" s="102"/>
      <c r="L10" s="355"/>
    </row>
    <row r="11" spans="1:14" ht="21" customHeight="1" x14ac:dyDescent="0.25">
      <c r="A11" s="201"/>
      <c r="B11" s="90"/>
      <c r="C11" s="65"/>
      <c r="D11" s="65"/>
      <c r="E11" s="65"/>
      <c r="F11" s="65">
        <v>6</v>
      </c>
      <c r="G11" s="90" t="s">
        <v>831</v>
      </c>
      <c r="H11" s="57">
        <v>1611</v>
      </c>
      <c r="I11" s="57"/>
      <c r="J11" s="57"/>
      <c r="K11" s="102" t="s">
        <v>832</v>
      </c>
      <c r="L11" s="355"/>
      <c r="M11" s="75">
        <v>1610.8460417667775</v>
      </c>
      <c r="N11" s="75">
        <v>1.0067787761042362</v>
      </c>
    </row>
    <row r="12" spans="1:14" ht="21" customHeight="1" x14ac:dyDescent="0.25">
      <c r="A12" s="201"/>
      <c r="B12" s="90"/>
      <c r="C12" s="65"/>
      <c r="D12" s="65"/>
      <c r="E12" s="65"/>
      <c r="F12" s="65">
        <v>7</v>
      </c>
      <c r="G12" s="90" t="s">
        <v>833</v>
      </c>
      <c r="H12" s="57">
        <v>1460</v>
      </c>
      <c r="I12" s="57"/>
      <c r="J12" s="57"/>
      <c r="K12" s="66" t="s">
        <v>834</v>
      </c>
    </row>
    <row r="13" spans="1:14" ht="21.75" customHeight="1" x14ac:dyDescent="0.25">
      <c r="A13" s="201"/>
      <c r="B13" s="90"/>
      <c r="C13" s="65"/>
      <c r="D13" s="65"/>
      <c r="E13" s="65"/>
      <c r="F13" s="65">
        <v>8</v>
      </c>
      <c r="G13" s="90" t="s">
        <v>835</v>
      </c>
      <c r="H13" s="57">
        <v>398</v>
      </c>
      <c r="I13" s="57"/>
      <c r="J13" s="57"/>
      <c r="K13" s="102" t="s">
        <v>832</v>
      </c>
      <c r="L13" s="66" t="s">
        <v>836</v>
      </c>
      <c r="M13" s="75">
        <v>398.25071909636728</v>
      </c>
      <c r="N13" s="74">
        <v>1.1378591974181922</v>
      </c>
    </row>
    <row r="14" spans="1:14" x14ac:dyDescent="0.25">
      <c r="A14" s="201">
        <v>3</v>
      </c>
      <c r="B14" s="90" t="s">
        <v>837</v>
      </c>
      <c r="C14" s="65">
        <v>250</v>
      </c>
      <c r="D14" s="65">
        <v>150</v>
      </c>
      <c r="E14" s="65">
        <v>100</v>
      </c>
      <c r="F14" s="65">
        <v>9</v>
      </c>
      <c r="G14" s="90" t="s">
        <v>837</v>
      </c>
      <c r="H14" s="57">
        <f>C14*1.1</f>
        <v>275</v>
      </c>
      <c r="I14" s="57">
        <f t="shared" si="0"/>
        <v>165</v>
      </c>
      <c r="J14" s="57">
        <f t="shared" si="0"/>
        <v>110.00000000000001</v>
      </c>
      <c r="K14" s="102"/>
    </row>
    <row r="15" spans="1:14" x14ac:dyDescent="0.25">
      <c r="A15" s="200" t="s">
        <v>39</v>
      </c>
      <c r="B15" s="84" t="s">
        <v>838</v>
      </c>
      <c r="C15" s="65"/>
      <c r="D15" s="65"/>
      <c r="E15" s="65"/>
      <c r="F15" s="82" t="s">
        <v>39</v>
      </c>
      <c r="G15" s="84" t="s">
        <v>838</v>
      </c>
      <c r="H15" s="57"/>
      <c r="I15" s="57"/>
      <c r="J15" s="57"/>
      <c r="K15" s="102"/>
    </row>
    <row r="16" spans="1:14" ht="55.5" customHeight="1" x14ac:dyDescent="0.25">
      <c r="A16" s="201">
        <v>1</v>
      </c>
      <c r="B16" s="90" t="s">
        <v>839</v>
      </c>
      <c r="C16" s="65">
        <v>120</v>
      </c>
      <c r="D16" s="65">
        <v>85</v>
      </c>
      <c r="E16" s="65">
        <v>70</v>
      </c>
      <c r="F16" s="65">
        <v>1</v>
      </c>
      <c r="G16" s="90" t="s">
        <v>839</v>
      </c>
      <c r="H16" s="57">
        <f>C16*1.1</f>
        <v>132</v>
      </c>
      <c r="I16" s="57">
        <f t="shared" si="0"/>
        <v>93.500000000000014</v>
      </c>
      <c r="J16" s="57">
        <f t="shared" si="0"/>
        <v>77</v>
      </c>
      <c r="K16" s="102"/>
    </row>
    <row r="17" spans="1:15" ht="55.5" customHeight="1" x14ac:dyDescent="0.25">
      <c r="A17" s="201">
        <v>2</v>
      </c>
      <c r="B17" s="90" t="s">
        <v>840</v>
      </c>
      <c r="C17" s="65">
        <v>450</v>
      </c>
      <c r="D17" s="65">
        <v>270</v>
      </c>
      <c r="E17" s="65">
        <v>135</v>
      </c>
      <c r="F17" s="65">
        <v>2</v>
      </c>
      <c r="G17" s="90" t="s">
        <v>840</v>
      </c>
      <c r="H17" s="57">
        <f t="shared" ref="H17:H23" si="1">C17*1.1</f>
        <v>495.00000000000006</v>
      </c>
      <c r="I17" s="57">
        <f t="shared" si="0"/>
        <v>297</v>
      </c>
      <c r="J17" s="57">
        <f t="shared" si="0"/>
        <v>148.5</v>
      </c>
      <c r="K17" s="102"/>
    </row>
    <row r="18" spans="1:15" ht="55.5" customHeight="1" x14ac:dyDescent="0.25">
      <c r="A18" s="201">
        <v>3</v>
      </c>
      <c r="B18" s="90" t="s">
        <v>841</v>
      </c>
      <c r="C18" s="65">
        <v>450</v>
      </c>
      <c r="D18" s="65">
        <v>270</v>
      </c>
      <c r="E18" s="65">
        <v>135</v>
      </c>
      <c r="F18" s="65">
        <v>3</v>
      </c>
      <c r="G18" s="90" t="s">
        <v>841</v>
      </c>
      <c r="H18" s="57">
        <f t="shared" si="1"/>
        <v>495.00000000000006</v>
      </c>
      <c r="I18" s="57">
        <f t="shared" si="0"/>
        <v>297</v>
      </c>
      <c r="J18" s="57">
        <f t="shared" si="0"/>
        <v>148.5</v>
      </c>
      <c r="K18" s="102"/>
    </row>
    <row r="19" spans="1:15" ht="55.5" customHeight="1" x14ac:dyDescent="0.25">
      <c r="A19" s="201">
        <v>4</v>
      </c>
      <c r="B19" s="90" t="s">
        <v>842</v>
      </c>
      <c r="C19" s="65">
        <v>450</v>
      </c>
      <c r="D19" s="65">
        <v>270</v>
      </c>
      <c r="E19" s="65">
        <v>135</v>
      </c>
      <c r="F19" s="65">
        <v>4</v>
      </c>
      <c r="G19" s="90" t="s">
        <v>842</v>
      </c>
      <c r="H19" s="57">
        <f t="shared" si="1"/>
        <v>495.00000000000006</v>
      </c>
      <c r="I19" s="57">
        <f t="shared" si="0"/>
        <v>297</v>
      </c>
      <c r="J19" s="57">
        <f t="shared" si="0"/>
        <v>148.5</v>
      </c>
      <c r="K19" s="102"/>
    </row>
    <row r="20" spans="1:15" ht="66" x14ac:dyDescent="0.25">
      <c r="A20" s="201">
        <v>5</v>
      </c>
      <c r="B20" s="90" t="s">
        <v>843</v>
      </c>
      <c r="C20" s="65">
        <v>700</v>
      </c>
      <c r="D20" s="65">
        <v>480</v>
      </c>
      <c r="E20" s="65">
        <v>350</v>
      </c>
      <c r="F20" s="65">
        <v>5</v>
      </c>
      <c r="G20" s="90" t="s">
        <v>843</v>
      </c>
      <c r="H20" s="57">
        <v>869</v>
      </c>
      <c r="I20" s="57">
        <f>H20*M20%</f>
        <v>595.88571428571424</v>
      </c>
      <c r="J20" s="57">
        <f>H20*N20%</f>
        <v>434.5</v>
      </c>
      <c r="K20" s="102" t="s">
        <v>832</v>
      </c>
      <c r="L20" s="203">
        <v>869.07466392809897</v>
      </c>
      <c r="M20" s="203">
        <f>D20/700*100</f>
        <v>68.571428571428569</v>
      </c>
      <c r="N20" s="203">
        <f>E20/C20*100</f>
        <v>50</v>
      </c>
      <c r="O20" s="204">
        <f>L20/C20</f>
        <v>1.2415352341829986</v>
      </c>
    </row>
    <row r="21" spans="1:15" ht="42" customHeight="1" x14ac:dyDescent="0.25">
      <c r="A21" s="201">
        <v>6</v>
      </c>
      <c r="B21" s="90" t="s">
        <v>844</v>
      </c>
      <c r="C21" s="65">
        <v>250</v>
      </c>
      <c r="D21" s="65">
        <v>150</v>
      </c>
      <c r="E21" s="65">
        <v>100</v>
      </c>
      <c r="F21" s="65">
        <v>6</v>
      </c>
      <c r="G21" s="90" t="s">
        <v>844</v>
      </c>
      <c r="H21" s="57">
        <f t="shared" si="1"/>
        <v>275</v>
      </c>
      <c r="I21" s="57">
        <f t="shared" si="0"/>
        <v>165</v>
      </c>
      <c r="J21" s="57">
        <f t="shared" si="0"/>
        <v>110.00000000000001</v>
      </c>
      <c r="K21" s="102"/>
    </row>
    <row r="22" spans="1:15" ht="30" customHeight="1" x14ac:dyDescent="0.25">
      <c r="A22" s="201">
        <v>7</v>
      </c>
      <c r="B22" s="90" t="s">
        <v>845</v>
      </c>
      <c r="C22" s="65">
        <v>300</v>
      </c>
      <c r="D22" s="65">
        <v>150</v>
      </c>
      <c r="E22" s="65">
        <v>100</v>
      </c>
      <c r="F22" s="65">
        <v>7</v>
      </c>
      <c r="G22" s="90" t="s">
        <v>845</v>
      </c>
      <c r="H22" s="57">
        <f t="shared" si="1"/>
        <v>330</v>
      </c>
      <c r="I22" s="57">
        <f t="shared" si="0"/>
        <v>165</v>
      </c>
      <c r="J22" s="57">
        <f t="shared" si="0"/>
        <v>110.00000000000001</v>
      </c>
      <c r="K22" s="102"/>
    </row>
    <row r="23" spans="1:15" ht="30" customHeight="1" x14ac:dyDescent="0.25">
      <c r="A23" s="201">
        <v>8</v>
      </c>
      <c r="B23" s="90" t="s">
        <v>846</v>
      </c>
      <c r="C23" s="65">
        <v>120</v>
      </c>
      <c r="D23" s="65">
        <v>85</v>
      </c>
      <c r="E23" s="65">
        <v>70</v>
      </c>
      <c r="F23" s="65">
        <v>8</v>
      </c>
      <c r="G23" s="90" t="s">
        <v>846</v>
      </c>
      <c r="H23" s="57">
        <f t="shared" si="1"/>
        <v>132</v>
      </c>
      <c r="I23" s="57">
        <f t="shared" si="0"/>
        <v>93.500000000000014</v>
      </c>
      <c r="J23" s="57">
        <f t="shared" si="0"/>
        <v>77</v>
      </c>
      <c r="K23" s="102"/>
    </row>
    <row r="24" spans="1:15" x14ac:dyDescent="0.25">
      <c r="A24" s="200" t="s">
        <v>54</v>
      </c>
      <c r="B24" s="84" t="s">
        <v>847</v>
      </c>
      <c r="C24" s="65"/>
      <c r="D24" s="65"/>
      <c r="E24" s="65"/>
      <c r="F24" s="82" t="s">
        <v>54</v>
      </c>
      <c r="G24" s="84" t="s">
        <v>847</v>
      </c>
      <c r="H24" s="273"/>
      <c r="I24" s="57"/>
      <c r="J24" s="57"/>
      <c r="K24" s="102"/>
    </row>
    <row r="25" spans="1:15" ht="42.75" customHeight="1" x14ac:dyDescent="0.25">
      <c r="A25" s="201">
        <v>1</v>
      </c>
      <c r="B25" s="90" t="s">
        <v>848</v>
      </c>
      <c r="C25" s="65">
        <v>80</v>
      </c>
      <c r="D25" s="65">
        <v>65</v>
      </c>
      <c r="E25" s="65">
        <v>60</v>
      </c>
      <c r="F25" s="65">
        <v>1</v>
      </c>
      <c r="G25" s="90" t="s">
        <v>848</v>
      </c>
      <c r="H25" s="273">
        <f>C25*1.1</f>
        <v>88</v>
      </c>
      <c r="I25" s="57">
        <f t="shared" si="0"/>
        <v>71.5</v>
      </c>
      <c r="J25" s="57">
        <f t="shared" si="0"/>
        <v>66</v>
      </c>
      <c r="K25" s="102"/>
    </row>
    <row r="26" spans="1:15" ht="42.75" customHeight="1" x14ac:dyDescent="0.25">
      <c r="A26" s="201">
        <v>2</v>
      </c>
      <c r="B26" s="90" t="s">
        <v>849</v>
      </c>
      <c r="C26" s="65">
        <v>100</v>
      </c>
      <c r="D26" s="65">
        <v>75</v>
      </c>
      <c r="E26" s="65">
        <v>60</v>
      </c>
      <c r="F26" s="65">
        <v>2</v>
      </c>
      <c r="G26" s="90" t="s">
        <v>849</v>
      </c>
      <c r="H26" s="273">
        <f t="shared" ref="H26:J89" si="2">C26*1.1</f>
        <v>110.00000000000001</v>
      </c>
      <c r="I26" s="57">
        <f t="shared" si="0"/>
        <v>82.5</v>
      </c>
      <c r="J26" s="57">
        <f t="shared" si="0"/>
        <v>66</v>
      </c>
      <c r="K26" s="102"/>
    </row>
    <row r="27" spans="1:15" ht="42.75" customHeight="1" x14ac:dyDescent="0.25">
      <c r="A27" s="201">
        <v>3</v>
      </c>
      <c r="B27" s="90" t="s">
        <v>850</v>
      </c>
      <c r="C27" s="65">
        <v>80</v>
      </c>
      <c r="D27" s="65">
        <v>65</v>
      </c>
      <c r="E27" s="65">
        <v>60</v>
      </c>
      <c r="F27" s="65">
        <v>3</v>
      </c>
      <c r="G27" s="90" t="s">
        <v>850</v>
      </c>
      <c r="H27" s="273">
        <f t="shared" si="2"/>
        <v>88</v>
      </c>
      <c r="I27" s="57">
        <f t="shared" si="0"/>
        <v>71.5</v>
      </c>
      <c r="J27" s="57">
        <f t="shared" si="0"/>
        <v>66</v>
      </c>
      <c r="K27" s="102"/>
    </row>
    <row r="28" spans="1:15" ht="42.75" customHeight="1" x14ac:dyDescent="0.25">
      <c r="A28" s="201">
        <v>4</v>
      </c>
      <c r="B28" s="90" t="s">
        <v>851</v>
      </c>
      <c r="C28" s="65">
        <v>80</v>
      </c>
      <c r="D28" s="65">
        <v>65</v>
      </c>
      <c r="E28" s="65">
        <v>60</v>
      </c>
      <c r="F28" s="65">
        <v>4</v>
      </c>
      <c r="G28" s="90" t="s">
        <v>851</v>
      </c>
      <c r="H28" s="273">
        <f t="shared" si="2"/>
        <v>88</v>
      </c>
      <c r="I28" s="57">
        <f t="shared" si="0"/>
        <v>71.5</v>
      </c>
      <c r="J28" s="57">
        <f t="shared" si="0"/>
        <v>66</v>
      </c>
      <c r="K28" s="102"/>
    </row>
    <row r="29" spans="1:15" x14ac:dyDescent="0.25">
      <c r="A29" s="201">
        <v>5</v>
      </c>
      <c r="B29" s="90" t="s">
        <v>852</v>
      </c>
      <c r="C29" s="65">
        <v>70</v>
      </c>
      <c r="D29" s="65">
        <v>60</v>
      </c>
      <c r="E29" s="65">
        <v>55</v>
      </c>
      <c r="F29" s="65">
        <v>5</v>
      </c>
      <c r="G29" s="90" t="s">
        <v>852</v>
      </c>
      <c r="H29" s="273">
        <f t="shared" si="2"/>
        <v>77</v>
      </c>
      <c r="I29" s="57">
        <f t="shared" si="0"/>
        <v>66</v>
      </c>
      <c r="J29" s="57">
        <f t="shared" si="0"/>
        <v>60.500000000000007</v>
      </c>
      <c r="K29" s="102"/>
    </row>
    <row r="30" spans="1:15" x14ac:dyDescent="0.25">
      <c r="A30" s="200" t="s">
        <v>64</v>
      </c>
      <c r="B30" s="84" t="s">
        <v>853</v>
      </c>
      <c r="C30" s="65"/>
      <c r="D30" s="65"/>
      <c r="E30" s="65"/>
      <c r="F30" s="82" t="s">
        <v>64</v>
      </c>
      <c r="G30" s="84" t="s">
        <v>853</v>
      </c>
      <c r="H30" s="273"/>
      <c r="I30" s="57"/>
      <c r="J30" s="57"/>
      <c r="K30" s="102"/>
    </row>
    <row r="31" spans="1:15" ht="39" customHeight="1" x14ac:dyDescent="0.25">
      <c r="A31" s="201">
        <v>1</v>
      </c>
      <c r="B31" s="90" t="s">
        <v>854</v>
      </c>
      <c r="C31" s="65">
        <v>80</v>
      </c>
      <c r="D31" s="65">
        <v>65</v>
      </c>
      <c r="E31" s="65">
        <v>60</v>
      </c>
      <c r="F31" s="65">
        <v>1</v>
      </c>
      <c r="G31" s="90" t="s">
        <v>854</v>
      </c>
      <c r="H31" s="273">
        <f t="shared" si="2"/>
        <v>88</v>
      </c>
      <c r="I31" s="57">
        <f t="shared" si="0"/>
        <v>71.5</v>
      </c>
      <c r="J31" s="57">
        <f t="shared" si="0"/>
        <v>66</v>
      </c>
      <c r="K31" s="102"/>
    </row>
    <row r="32" spans="1:15" ht="39" customHeight="1" x14ac:dyDescent="0.25">
      <c r="A32" s="201">
        <v>2</v>
      </c>
      <c r="B32" s="90" t="s">
        <v>855</v>
      </c>
      <c r="C32" s="65">
        <v>110</v>
      </c>
      <c r="D32" s="65">
        <v>75</v>
      </c>
      <c r="E32" s="65">
        <v>60</v>
      </c>
      <c r="F32" s="65">
        <v>2</v>
      </c>
      <c r="G32" s="90" t="s">
        <v>855</v>
      </c>
      <c r="H32" s="273">
        <f t="shared" si="2"/>
        <v>121.00000000000001</v>
      </c>
      <c r="I32" s="57">
        <f t="shared" si="0"/>
        <v>82.5</v>
      </c>
      <c r="J32" s="57">
        <f t="shared" si="0"/>
        <v>66</v>
      </c>
      <c r="K32" s="102"/>
    </row>
    <row r="33" spans="1:11" ht="39" customHeight="1" x14ac:dyDescent="0.25">
      <c r="A33" s="201">
        <v>3</v>
      </c>
      <c r="B33" s="90" t="s">
        <v>856</v>
      </c>
      <c r="C33" s="65">
        <v>95</v>
      </c>
      <c r="D33" s="65">
        <v>70</v>
      </c>
      <c r="E33" s="65">
        <v>60</v>
      </c>
      <c r="F33" s="65">
        <v>3</v>
      </c>
      <c r="G33" s="90" t="s">
        <v>856</v>
      </c>
      <c r="H33" s="273">
        <f t="shared" si="2"/>
        <v>104.50000000000001</v>
      </c>
      <c r="I33" s="57">
        <f t="shared" si="0"/>
        <v>77</v>
      </c>
      <c r="J33" s="57">
        <f t="shared" si="0"/>
        <v>66</v>
      </c>
      <c r="K33" s="102"/>
    </row>
    <row r="34" spans="1:11" ht="39" customHeight="1" x14ac:dyDescent="0.25">
      <c r="A34" s="201">
        <v>4</v>
      </c>
      <c r="B34" s="90" t="s">
        <v>857</v>
      </c>
      <c r="C34" s="65">
        <v>95</v>
      </c>
      <c r="D34" s="65">
        <v>70</v>
      </c>
      <c r="E34" s="65">
        <v>60</v>
      </c>
      <c r="F34" s="65">
        <v>4</v>
      </c>
      <c r="G34" s="90" t="s">
        <v>857</v>
      </c>
      <c r="H34" s="273">
        <f t="shared" si="2"/>
        <v>104.50000000000001</v>
      </c>
      <c r="I34" s="57">
        <f t="shared" si="0"/>
        <v>77</v>
      </c>
      <c r="J34" s="57">
        <f t="shared" si="0"/>
        <v>66</v>
      </c>
      <c r="K34" s="102"/>
    </row>
    <row r="35" spans="1:11" ht="39" customHeight="1" x14ac:dyDescent="0.25">
      <c r="A35" s="201">
        <v>5</v>
      </c>
      <c r="B35" s="90" t="s">
        <v>858</v>
      </c>
      <c r="C35" s="65">
        <v>80</v>
      </c>
      <c r="D35" s="65">
        <v>65</v>
      </c>
      <c r="E35" s="65">
        <v>60</v>
      </c>
      <c r="F35" s="65">
        <v>5</v>
      </c>
      <c r="G35" s="90" t="s">
        <v>858</v>
      </c>
      <c r="H35" s="273">
        <f t="shared" si="2"/>
        <v>88</v>
      </c>
      <c r="I35" s="57">
        <f t="shared" si="0"/>
        <v>71.5</v>
      </c>
      <c r="J35" s="57">
        <f t="shared" si="0"/>
        <v>66</v>
      </c>
      <c r="K35" s="102"/>
    </row>
    <row r="36" spans="1:11" ht="24.95" customHeight="1" x14ac:dyDescent="0.25">
      <c r="A36" s="201">
        <v>6</v>
      </c>
      <c r="B36" s="90" t="s">
        <v>852</v>
      </c>
      <c r="C36" s="65">
        <v>70</v>
      </c>
      <c r="D36" s="65">
        <v>60</v>
      </c>
      <c r="E36" s="65">
        <v>55</v>
      </c>
      <c r="F36" s="65">
        <v>6</v>
      </c>
      <c r="G36" s="90" t="s">
        <v>852</v>
      </c>
      <c r="H36" s="273">
        <f t="shared" si="2"/>
        <v>77</v>
      </c>
      <c r="I36" s="57">
        <f t="shared" si="0"/>
        <v>66</v>
      </c>
      <c r="J36" s="57">
        <f t="shared" si="0"/>
        <v>60.500000000000007</v>
      </c>
      <c r="K36" s="102"/>
    </row>
    <row r="37" spans="1:11" ht="24.95" customHeight="1" x14ac:dyDescent="0.25">
      <c r="A37" s="200" t="s">
        <v>75</v>
      </c>
      <c r="B37" s="84" t="s">
        <v>859</v>
      </c>
      <c r="C37" s="65"/>
      <c r="D37" s="65"/>
      <c r="E37" s="65"/>
      <c r="F37" s="82" t="s">
        <v>75</v>
      </c>
      <c r="G37" s="84" t="s">
        <v>859</v>
      </c>
      <c r="H37" s="273"/>
      <c r="I37" s="57"/>
      <c r="J37" s="57"/>
      <c r="K37" s="102"/>
    </row>
    <row r="38" spans="1:11" ht="24.95" customHeight="1" x14ac:dyDescent="0.25">
      <c r="A38" s="201">
        <v>1</v>
      </c>
      <c r="B38" s="90" t="s">
        <v>860</v>
      </c>
      <c r="C38" s="65">
        <v>100</v>
      </c>
      <c r="D38" s="65">
        <v>75</v>
      </c>
      <c r="E38" s="65">
        <v>60</v>
      </c>
      <c r="F38" s="65">
        <v>1</v>
      </c>
      <c r="G38" s="90" t="s">
        <v>860</v>
      </c>
      <c r="H38" s="273">
        <f t="shared" si="2"/>
        <v>110.00000000000001</v>
      </c>
      <c r="I38" s="57">
        <f t="shared" si="0"/>
        <v>82.5</v>
      </c>
      <c r="J38" s="57">
        <f t="shared" si="0"/>
        <v>66</v>
      </c>
      <c r="K38" s="102"/>
    </row>
    <row r="39" spans="1:11" ht="24.95" customHeight="1" x14ac:dyDescent="0.25">
      <c r="A39" s="201">
        <v>2</v>
      </c>
      <c r="B39" s="90" t="s">
        <v>861</v>
      </c>
      <c r="C39" s="65">
        <v>80</v>
      </c>
      <c r="D39" s="65">
        <v>65</v>
      </c>
      <c r="E39" s="65">
        <v>60</v>
      </c>
      <c r="F39" s="65">
        <v>2</v>
      </c>
      <c r="G39" s="90" t="s">
        <v>861</v>
      </c>
      <c r="H39" s="273">
        <f t="shared" si="2"/>
        <v>88</v>
      </c>
      <c r="I39" s="57">
        <f t="shared" si="0"/>
        <v>71.5</v>
      </c>
      <c r="J39" s="57">
        <f t="shared" si="0"/>
        <v>66</v>
      </c>
      <c r="K39" s="102"/>
    </row>
    <row r="40" spans="1:11" ht="24.95" customHeight="1" x14ac:dyDescent="0.25">
      <c r="A40" s="201">
        <v>3</v>
      </c>
      <c r="B40" s="90" t="s">
        <v>862</v>
      </c>
      <c r="C40" s="65">
        <v>80</v>
      </c>
      <c r="D40" s="65">
        <v>65</v>
      </c>
      <c r="E40" s="65">
        <v>60</v>
      </c>
      <c r="F40" s="65">
        <v>3</v>
      </c>
      <c r="G40" s="90" t="s">
        <v>862</v>
      </c>
      <c r="H40" s="273">
        <f t="shared" si="2"/>
        <v>88</v>
      </c>
      <c r="I40" s="57">
        <f t="shared" si="0"/>
        <v>71.5</v>
      </c>
      <c r="J40" s="57">
        <f t="shared" si="0"/>
        <v>66</v>
      </c>
      <c r="K40" s="102"/>
    </row>
    <row r="41" spans="1:11" ht="24.95" customHeight="1" x14ac:dyDescent="0.25">
      <c r="A41" s="201">
        <v>4</v>
      </c>
      <c r="B41" s="90" t="s">
        <v>852</v>
      </c>
      <c r="C41" s="65">
        <v>70</v>
      </c>
      <c r="D41" s="65">
        <v>60</v>
      </c>
      <c r="E41" s="65">
        <v>55</v>
      </c>
      <c r="F41" s="65">
        <v>4</v>
      </c>
      <c r="G41" s="90" t="s">
        <v>852</v>
      </c>
      <c r="H41" s="273">
        <f t="shared" si="2"/>
        <v>77</v>
      </c>
      <c r="I41" s="57">
        <f t="shared" si="0"/>
        <v>66</v>
      </c>
      <c r="J41" s="57">
        <f t="shared" si="0"/>
        <v>60.500000000000007</v>
      </c>
      <c r="K41" s="102"/>
    </row>
    <row r="42" spans="1:11" ht="24.95" customHeight="1" x14ac:dyDescent="0.25">
      <c r="A42" s="200" t="s">
        <v>349</v>
      </c>
      <c r="B42" s="84" t="s">
        <v>863</v>
      </c>
      <c r="C42" s="65"/>
      <c r="D42" s="65"/>
      <c r="E42" s="65"/>
      <c r="F42" s="82" t="s">
        <v>349</v>
      </c>
      <c r="G42" s="84" t="s">
        <v>863</v>
      </c>
      <c r="H42" s="273"/>
      <c r="I42" s="57"/>
      <c r="J42" s="57"/>
      <c r="K42" s="102"/>
    </row>
    <row r="43" spans="1:11" ht="50.25" customHeight="1" x14ac:dyDescent="0.25">
      <c r="A43" s="201">
        <v>1</v>
      </c>
      <c r="B43" s="90" t="s">
        <v>864</v>
      </c>
      <c r="C43" s="65">
        <v>80</v>
      </c>
      <c r="D43" s="65">
        <v>65</v>
      </c>
      <c r="E43" s="65">
        <v>60</v>
      </c>
      <c r="F43" s="65">
        <v>1</v>
      </c>
      <c r="G43" s="90" t="s">
        <v>864</v>
      </c>
      <c r="H43" s="273">
        <f t="shared" si="2"/>
        <v>88</v>
      </c>
      <c r="I43" s="57">
        <f t="shared" si="0"/>
        <v>71.5</v>
      </c>
      <c r="J43" s="57">
        <f t="shared" si="0"/>
        <v>66</v>
      </c>
      <c r="K43" s="102"/>
    </row>
    <row r="44" spans="1:11" ht="50.25" customHeight="1" x14ac:dyDescent="0.25">
      <c r="A44" s="201">
        <v>2</v>
      </c>
      <c r="B44" s="90" t="s">
        <v>865</v>
      </c>
      <c r="C44" s="65">
        <v>100</v>
      </c>
      <c r="D44" s="65">
        <v>75</v>
      </c>
      <c r="E44" s="65">
        <v>60</v>
      </c>
      <c r="F44" s="65">
        <v>2</v>
      </c>
      <c r="G44" s="90" t="s">
        <v>865</v>
      </c>
      <c r="H44" s="273">
        <f t="shared" si="2"/>
        <v>110.00000000000001</v>
      </c>
      <c r="I44" s="57">
        <f t="shared" si="0"/>
        <v>82.5</v>
      </c>
      <c r="J44" s="57">
        <f t="shared" si="0"/>
        <v>66</v>
      </c>
      <c r="K44" s="102"/>
    </row>
    <row r="45" spans="1:11" ht="50.25" customHeight="1" x14ac:dyDescent="0.25">
      <c r="A45" s="201">
        <v>3</v>
      </c>
      <c r="B45" s="90" t="s">
        <v>866</v>
      </c>
      <c r="C45" s="65">
        <v>80</v>
      </c>
      <c r="D45" s="65">
        <v>65</v>
      </c>
      <c r="E45" s="65">
        <v>60</v>
      </c>
      <c r="F45" s="65">
        <v>3</v>
      </c>
      <c r="G45" s="90" t="s">
        <v>866</v>
      </c>
      <c r="H45" s="273">
        <f t="shared" si="2"/>
        <v>88</v>
      </c>
      <c r="I45" s="57">
        <f t="shared" si="0"/>
        <v>71.5</v>
      </c>
      <c r="J45" s="57">
        <f t="shared" si="0"/>
        <v>66</v>
      </c>
      <c r="K45" s="102"/>
    </row>
    <row r="46" spans="1:11" ht="50.25" customHeight="1" x14ac:dyDescent="0.25">
      <c r="A46" s="201">
        <v>4</v>
      </c>
      <c r="B46" s="90" t="s">
        <v>867</v>
      </c>
      <c r="C46" s="65">
        <v>100</v>
      </c>
      <c r="D46" s="65">
        <v>75</v>
      </c>
      <c r="E46" s="65">
        <v>60</v>
      </c>
      <c r="F46" s="65">
        <v>4</v>
      </c>
      <c r="G46" s="90" t="s">
        <v>867</v>
      </c>
      <c r="H46" s="273">
        <f t="shared" si="2"/>
        <v>110.00000000000001</v>
      </c>
      <c r="I46" s="57">
        <f t="shared" si="0"/>
        <v>82.5</v>
      </c>
      <c r="J46" s="57">
        <f t="shared" si="0"/>
        <v>66</v>
      </c>
      <c r="K46" s="102"/>
    </row>
    <row r="47" spans="1:11" ht="20.25" customHeight="1" x14ac:dyDescent="0.25">
      <c r="A47" s="201">
        <v>5</v>
      </c>
      <c r="B47" s="90" t="s">
        <v>868</v>
      </c>
      <c r="C47" s="65">
        <v>70</v>
      </c>
      <c r="D47" s="65">
        <v>60</v>
      </c>
      <c r="E47" s="65">
        <v>55</v>
      </c>
      <c r="F47" s="65">
        <v>5</v>
      </c>
      <c r="G47" s="90" t="s">
        <v>868</v>
      </c>
      <c r="H47" s="273">
        <f t="shared" si="2"/>
        <v>77</v>
      </c>
      <c r="I47" s="57">
        <f t="shared" si="0"/>
        <v>66</v>
      </c>
      <c r="J47" s="57">
        <f t="shared" si="0"/>
        <v>60.500000000000007</v>
      </c>
      <c r="K47" s="102"/>
    </row>
    <row r="48" spans="1:11" ht="19.5" customHeight="1" x14ac:dyDescent="0.25">
      <c r="A48" s="200" t="s">
        <v>354</v>
      </c>
      <c r="B48" s="84" t="s">
        <v>869</v>
      </c>
      <c r="C48" s="65"/>
      <c r="D48" s="65"/>
      <c r="E48" s="65"/>
      <c r="F48" s="82" t="s">
        <v>354</v>
      </c>
      <c r="G48" s="84" t="s">
        <v>869</v>
      </c>
      <c r="H48" s="273"/>
      <c r="I48" s="57"/>
      <c r="J48" s="57"/>
      <c r="K48" s="102"/>
    </row>
    <row r="49" spans="1:11" ht="33" x14ac:dyDescent="0.25">
      <c r="A49" s="201">
        <v>1</v>
      </c>
      <c r="B49" s="90" t="s">
        <v>870</v>
      </c>
      <c r="C49" s="65">
        <v>100</v>
      </c>
      <c r="D49" s="65">
        <v>75</v>
      </c>
      <c r="E49" s="65">
        <v>60</v>
      </c>
      <c r="F49" s="65">
        <v>1</v>
      </c>
      <c r="G49" s="90" t="s">
        <v>870</v>
      </c>
      <c r="H49" s="273">
        <f t="shared" si="2"/>
        <v>110.00000000000001</v>
      </c>
      <c r="I49" s="57">
        <f t="shared" si="0"/>
        <v>82.5</v>
      </c>
      <c r="J49" s="57">
        <f t="shared" si="0"/>
        <v>66</v>
      </c>
      <c r="K49" s="102"/>
    </row>
    <row r="50" spans="1:11" ht="33" x14ac:dyDescent="0.25">
      <c r="A50" s="201">
        <v>2</v>
      </c>
      <c r="B50" s="90" t="s">
        <v>871</v>
      </c>
      <c r="C50" s="65">
        <v>80</v>
      </c>
      <c r="D50" s="65">
        <v>65</v>
      </c>
      <c r="E50" s="65">
        <v>60</v>
      </c>
      <c r="F50" s="65">
        <v>2</v>
      </c>
      <c r="G50" s="90" t="s">
        <v>871</v>
      </c>
      <c r="H50" s="273">
        <f t="shared" si="2"/>
        <v>88</v>
      </c>
      <c r="I50" s="57">
        <f t="shared" si="0"/>
        <v>71.5</v>
      </c>
      <c r="J50" s="57">
        <f t="shared" si="0"/>
        <v>66</v>
      </c>
      <c r="K50" s="102"/>
    </row>
    <row r="51" spans="1:11" ht="33" x14ac:dyDescent="0.25">
      <c r="A51" s="201">
        <v>3</v>
      </c>
      <c r="B51" s="90" t="s">
        <v>872</v>
      </c>
      <c r="C51" s="65">
        <v>90</v>
      </c>
      <c r="D51" s="65">
        <v>70</v>
      </c>
      <c r="E51" s="65">
        <v>60</v>
      </c>
      <c r="F51" s="65">
        <v>3</v>
      </c>
      <c r="G51" s="90" t="s">
        <v>872</v>
      </c>
      <c r="H51" s="273">
        <f t="shared" si="2"/>
        <v>99.000000000000014</v>
      </c>
      <c r="I51" s="57">
        <f t="shared" si="0"/>
        <v>77</v>
      </c>
      <c r="J51" s="57">
        <f t="shared" si="0"/>
        <v>66</v>
      </c>
      <c r="K51" s="102"/>
    </row>
    <row r="52" spans="1:11" x14ac:dyDescent="0.25">
      <c r="A52" s="201">
        <v>4</v>
      </c>
      <c r="B52" s="90" t="s">
        <v>852</v>
      </c>
      <c r="C52" s="65">
        <v>70</v>
      </c>
      <c r="D52" s="65">
        <v>60</v>
      </c>
      <c r="E52" s="65">
        <v>55</v>
      </c>
      <c r="F52" s="65">
        <v>4</v>
      </c>
      <c r="G52" s="90" t="s">
        <v>852</v>
      </c>
      <c r="H52" s="273">
        <f t="shared" si="2"/>
        <v>77</v>
      </c>
      <c r="I52" s="57">
        <f t="shared" si="0"/>
        <v>66</v>
      </c>
      <c r="J52" s="57">
        <f t="shared" si="0"/>
        <v>60.500000000000007</v>
      </c>
      <c r="K52" s="102"/>
    </row>
    <row r="53" spans="1:11" ht="33" x14ac:dyDescent="0.25">
      <c r="A53" s="200" t="s">
        <v>427</v>
      </c>
      <c r="B53" s="84" t="s">
        <v>873</v>
      </c>
      <c r="C53" s="65"/>
      <c r="D53" s="65"/>
      <c r="E53" s="65"/>
      <c r="F53" s="82" t="s">
        <v>427</v>
      </c>
      <c r="G53" s="84" t="s">
        <v>873</v>
      </c>
      <c r="H53" s="273"/>
      <c r="I53" s="57"/>
      <c r="J53" s="57"/>
      <c r="K53" s="102"/>
    </row>
    <row r="54" spans="1:11" ht="49.5" x14ac:dyDescent="0.25">
      <c r="A54" s="201">
        <v>1</v>
      </c>
      <c r="B54" s="90" t="s">
        <v>874</v>
      </c>
      <c r="C54" s="65">
        <v>80</v>
      </c>
      <c r="D54" s="65">
        <v>65</v>
      </c>
      <c r="E54" s="65">
        <v>60</v>
      </c>
      <c r="F54" s="65">
        <v>1</v>
      </c>
      <c r="G54" s="90" t="s">
        <v>874</v>
      </c>
      <c r="H54" s="273">
        <f t="shared" si="2"/>
        <v>88</v>
      </c>
      <c r="I54" s="57">
        <f t="shared" si="0"/>
        <v>71.5</v>
      </c>
      <c r="J54" s="57">
        <f t="shared" si="0"/>
        <v>66</v>
      </c>
      <c r="K54" s="102"/>
    </row>
    <row r="55" spans="1:11" ht="33" x14ac:dyDescent="0.25">
      <c r="A55" s="201">
        <v>2</v>
      </c>
      <c r="B55" s="90" t="s">
        <v>875</v>
      </c>
      <c r="C55" s="65">
        <v>80</v>
      </c>
      <c r="D55" s="65">
        <v>65</v>
      </c>
      <c r="E55" s="65">
        <v>60</v>
      </c>
      <c r="F55" s="65">
        <v>2</v>
      </c>
      <c r="G55" s="90" t="s">
        <v>875</v>
      </c>
      <c r="H55" s="273">
        <f t="shared" si="2"/>
        <v>88</v>
      </c>
      <c r="I55" s="57">
        <f t="shared" si="0"/>
        <v>71.5</v>
      </c>
      <c r="J55" s="57">
        <f t="shared" si="0"/>
        <v>66</v>
      </c>
      <c r="K55" s="102"/>
    </row>
    <row r="56" spans="1:11" ht="33" x14ac:dyDescent="0.25">
      <c r="A56" s="201">
        <v>3</v>
      </c>
      <c r="B56" s="90" t="s">
        <v>876</v>
      </c>
      <c r="C56" s="65">
        <v>120</v>
      </c>
      <c r="D56" s="65">
        <v>85</v>
      </c>
      <c r="E56" s="65">
        <v>70</v>
      </c>
      <c r="F56" s="65">
        <v>3</v>
      </c>
      <c r="G56" s="90" t="s">
        <v>876</v>
      </c>
      <c r="H56" s="273">
        <f t="shared" si="2"/>
        <v>132</v>
      </c>
      <c r="I56" s="57">
        <f t="shared" si="0"/>
        <v>93.500000000000014</v>
      </c>
      <c r="J56" s="57">
        <f t="shared" si="0"/>
        <v>77</v>
      </c>
      <c r="K56" s="102"/>
    </row>
    <row r="57" spans="1:11" ht="49.5" x14ac:dyDescent="0.25">
      <c r="A57" s="201">
        <v>4</v>
      </c>
      <c r="B57" s="90" t="s">
        <v>877</v>
      </c>
      <c r="C57" s="65">
        <v>80</v>
      </c>
      <c r="D57" s="65">
        <v>65</v>
      </c>
      <c r="E57" s="65">
        <v>60</v>
      </c>
      <c r="F57" s="65">
        <v>4</v>
      </c>
      <c r="G57" s="90" t="s">
        <v>877</v>
      </c>
      <c r="H57" s="273">
        <f t="shared" si="2"/>
        <v>88</v>
      </c>
      <c r="I57" s="57">
        <f t="shared" si="0"/>
        <v>71.5</v>
      </c>
      <c r="J57" s="57">
        <f t="shared" si="0"/>
        <v>66</v>
      </c>
      <c r="K57" s="102"/>
    </row>
    <row r="58" spans="1:11" ht="33" x14ac:dyDescent="0.25">
      <c r="A58" s="201">
        <v>5</v>
      </c>
      <c r="B58" s="90" t="s">
        <v>878</v>
      </c>
      <c r="C58" s="65">
        <v>120</v>
      </c>
      <c r="D58" s="65">
        <v>85</v>
      </c>
      <c r="E58" s="65">
        <v>70</v>
      </c>
      <c r="F58" s="65">
        <v>5</v>
      </c>
      <c r="G58" s="90" t="s">
        <v>878</v>
      </c>
      <c r="H58" s="273">
        <f t="shared" si="2"/>
        <v>132</v>
      </c>
      <c r="I58" s="57">
        <f t="shared" si="0"/>
        <v>93.500000000000014</v>
      </c>
      <c r="J58" s="57">
        <f t="shared" si="0"/>
        <v>77</v>
      </c>
      <c r="K58" s="102"/>
    </row>
    <row r="59" spans="1:11" ht="49.5" x14ac:dyDescent="0.25">
      <c r="A59" s="201">
        <v>6</v>
      </c>
      <c r="B59" s="90" t="s">
        <v>879</v>
      </c>
      <c r="C59" s="65">
        <v>80</v>
      </c>
      <c r="D59" s="65">
        <v>65</v>
      </c>
      <c r="E59" s="65">
        <v>60</v>
      </c>
      <c r="F59" s="65">
        <v>6</v>
      </c>
      <c r="G59" s="90" t="s">
        <v>879</v>
      </c>
      <c r="H59" s="273">
        <f t="shared" si="2"/>
        <v>88</v>
      </c>
      <c r="I59" s="57">
        <f t="shared" si="0"/>
        <v>71.5</v>
      </c>
      <c r="J59" s="57">
        <f t="shared" si="0"/>
        <v>66</v>
      </c>
      <c r="K59" s="102"/>
    </row>
    <row r="60" spans="1:11" x14ac:dyDescent="0.25">
      <c r="A60" s="201">
        <v>7</v>
      </c>
      <c r="B60" s="90" t="s">
        <v>880</v>
      </c>
      <c r="C60" s="65">
        <v>70</v>
      </c>
      <c r="D60" s="65">
        <v>60</v>
      </c>
      <c r="E60" s="65">
        <v>55</v>
      </c>
      <c r="F60" s="65">
        <v>7</v>
      </c>
      <c r="G60" s="90" t="s">
        <v>880</v>
      </c>
      <c r="H60" s="273">
        <f t="shared" si="2"/>
        <v>77</v>
      </c>
      <c r="I60" s="57">
        <f t="shared" si="0"/>
        <v>66</v>
      </c>
      <c r="J60" s="57">
        <f t="shared" si="0"/>
        <v>60.500000000000007</v>
      </c>
      <c r="K60" s="102"/>
    </row>
    <row r="61" spans="1:11" x14ac:dyDescent="0.25">
      <c r="A61" s="200" t="s">
        <v>432</v>
      </c>
      <c r="B61" s="84" t="s">
        <v>881</v>
      </c>
      <c r="C61" s="65"/>
      <c r="D61" s="65"/>
      <c r="E61" s="65"/>
      <c r="F61" s="82" t="s">
        <v>432</v>
      </c>
      <c r="G61" s="84" t="s">
        <v>881</v>
      </c>
      <c r="H61" s="273"/>
      <c r="I61" s="57"/>
      <c r="J61" s="57"/>
      <c r="K61" s="102"/>
    </row>
    <row r="62" spans="1:11" ht="33" x14ac:dyDescent="0.25">
      <c r="A62" s="201">
        <v>1</v>
      </c>
      <c r="B62" s="90" t="s">
        <v>882</v>
      </c>
      <c r="C62" s="65">
        <v>100</v>
      </c>
      <c r="D62" s="65">
        <v>75</v>
      </c>
      <c r="E62" s="65">
        <v>60</v>
      </c>
      <c r="F62" s="65">
        <v>1</v>
      </c>
      <c r="G62" s="90" t="s">
        <v>882</v>
      </c>
      <c r="H62" s="273">
        <f t="shared" si="2"/>
        <v>110.00000000000001</v>
      </c>
      <c r="I62" s="57">
        <f t="shared" si="0"/>
        <v>82.5</v>
      </c>
      <c r="J62" s="57">
        <f t="shared" si="0"/>
        <v>66</v>
      </c>
      <c r="K62" s="102"/>
    </row>
    <row r="63" spans="1:11" ht="33" x14ac:dyDescent="0.25">
      <c r="A63" s="201">
        <v>2</v>
      </c>
      <c r="B63" s="90" t="s">
        <v>883</v>
      </c>
      <c r="C63" s="65">
        <v>150</v>
      </c>
      <c r="D63" s="65">
        <v>130</v>
      </c>
      <c r="E63" s="65">
        <v>100</v>
      </c>
      <c r="F63" s="65">
        <v>2</v>
      </c>
      <c r="G63" s="90" t="s">
        <v>883</v>
      </c>
      <c r="H63" s="273">
        <f t="shared" si="2"/>
        <v>165</v>
      </c>
      <c r="I63" s="57">
        <f t="shared" si="0"/>
        <v>143</v>
      </c>
      <c r="J63" s="57">
        <f t="shared" si="0"/>
        <v>110.00000000000001</v>
      </c>
      <c r="K63" s="102"/>
    </row>
    <row r="64" spans="1:11" ht="33" x14ac:dyDescent="0.25">
      <c r="A64" s="201">
        <v>3</v>
      </c>
      <c r="B64" s="90" t="s">
        <v>884</v>
      </c>
      <c r="C64" s="65">
        <v>100</v>
      </c>
      <c r="D64" s="65">
        <v>75</v>
      </c>
      <c r="E64" s="65">
        <v>60</v>
      </c>
      <c r="F64" s="65">
        <v>3</v>
      </c>
      <c r="G64" s="90" t="s">
        <v>884</v>
      </c>
      <c r="H64" s="273">
        <f t="shared" si="2"/>
        <v>110.00000000000001</v>
      </c>
      <c r="I64" s="57">
        <f t="shared" si="0"/>
        <v>82.5</v>
      </c>
      <c r="J64" s="57">
        <f t="shared" si="0"/>
        <v>66</v>
      </c>
      <c r="K64" s="102"/>
    </row>
    <row r="65" spans="1:11" ht="49.5" x14ac:dyDescent="0.25">
      <c r="A65" s="201">
        <v>4</v>
      </c>
      <c r="B65" s="90" t="s">
        <v>885</v>
      </c>
      <c r="C65" s="65">
        <v>150</v>
      </c>
      <c r="D65" s="65">
        <v>130</v>
      </c>
      <c r="E65" s="65">
        <v>100</v>
      </c>
      <c r="F65" s="65">
        <v>4</v>
      </c>
      <c r="G65" s="90" t="s">
        <v>885</v>
      </c>
      <c r="H65" s="273">
        <f t="shared" si="2"/>
        <v>165</v>
      </c>
      <c r="I65" s="57">
        <f t="shared" si="0"/>
        <v>143</v>
      </c>
      <c r="J65" s="57">
        <f t="shared" si="0"/>
        <v>110.00000000000001</v>
      </c>
      <c r="K65" s="102"/>
    </row>
    <row r="66" spans="1:11" ht="33" x14ac:dyDescent="0.25">
      <c r="A66" s="201">
        <v>5</v>
      </c>
      <c r="B66" s="90" t="s">
        <v>886</v>
      </c>
      <c r="C66" s="65">
        <v>100</v>
      </c>
      <c r="D66" s="65">
        <v>75</v>
      </c>
      <c r="E66" s="65">
        <v>60</v>
      </c>
      <c r="F66" s="65">
        <v>5</v>
      </c>
      <c r="G66" s="90" t="s">
        <v>886</v>
      </c>
      <c r="H66" s="273">
        <f t="shared" si="2"/>
        <v>110.00000000000001</v>
      </c>
      <c r="I66" s="57">
        <f t="shared" si="0"/>
        <v>82.5</v>
      </c>
      <c r="J66" s="57">
        <f t="shared" si="0"/>
        <v>66</v>
      </c>
      <c r="K66" s="102"/>
    </row>
    <row r="67" spans="1:11" x14ac:dyDescent="0.25">
      <c r="A67" s="201">
        <v>6</v>
      </c>
      <c r="B67" s="90" t="s">
        <v>852</v>
      </c>
      <c r="C67" s="65">
        <v>70</v>
      </c>
      <c r="D67" s="65">
        <v>60</v>
      </c>
      <c r="E67" s="65">
        <v>55</v>
      </c>
      <c r="F67" s="65">
        <v>6</v>
      </c>
      <c r="G67" s="90" t="s">
        <v>852</v>
      </c>
      <c r="H67" s="273">
        <f t="shared" si="2"/>
        <v>77</v>
      </c>
      <c r="I67" s="57">
        <f t="shared" si="0"/>
        <v>66</v>
      </c>
      <c r="J67" s="57">
        <f t="shared" si="0"/>
        <v>60.500000000000007</v>
      </c>
      <c r="K67" s="102"/>
    </row>
    <row r="68" spans="1:11" x14ac:dyDescent="0.25">
      <c r="A68" s="200" t="s">
        <v>436</v>
      </c>
      <c r="B68" s="84" t="s">
        <v>887</v>
      </c>
      <c r="C68" s="65"/>
      <c r="D68" s="65"/>
      <c r="E68" s="65"/>
      <c r="F68" s="82" t="s">
        <v>436</v>
      </c>
      <c r="G68" s="84" t="s">
        <v>887</v>
      </c>
      <c r="H68" s="273"/>
      <c r="I68" s="57"/>
      <c r="J68" s="57"/>
      <c r="K68" s="102"/>
    </row>
    <row r="69" spans="1:11" ht="36" customHeight="1" x14ac:dyDescent="0.25">
      <c r="A69" s="201">
        <v>1</v>
      </c>
      <c r="B69" s="90" t="s">
        <v>888</v>
      </c>
      <c r="C69" s="65">
        <v>150</v>
      </c>
      <c r="D69" s="65">
        <v>130</v>
      </c>
      <c r="E69" s="65">
        <v>100</v>
      </c>
      <c r="F69" s="65">
        <v>1</v>
      </c>
      <c r="G69" s="90" t="s">
        <v>888</v>
      </c>
      <c r="H69" s="273">
        <f t="shared" si="2"/>
        <v>165</v>
      </c>
      <c r="I69" s="57">
        <f t="shared" si="0"/>
        <v>143</v>
      </c>
      <c r="J69" s="57">
        <f t="shared" si="0"/>
        <v>110.00000000000001</v>
      </c>
      <c r="K69" s="102"/>
    </row>
    <row r="70" spans="1:11" ht="36" customHeight="1" x14ac:dyDescent="0.25">
      <c r="A70" s="201">
        <v>2</v>
      </c>
      <c r="B70" s="90" t="s">
        <v>889</v>
      </c>
      <c r="C70" s="65">
        <v>250</v>
      </c>
      <c r="D70" s="65">
        <v>150</v>
      </c>
      <c r="E70" s="65">
        <v>100</v>
      </c>
      <c r="F70" s="65">
        <v>2</v>
      </c>
      <c r="G70" s="90" t="s">
        <v>889</v>
      </c>
      <c r="H70" s="273">
        <f t="shared" si="2"/>
        <v>275</v>
      </c>
      <c r="I70" s="57">
        <f t="shared" si="0"/>
        <v>165</v>
      </c>
      <c r="J70" s="57">
        <f t="shared" si="0"/>
        <v>110.00000000000001</v>
      </c>
      <c r="K70" s="102"/>
    </row>
    <row r="71" spans="1:11" ht="36" customHeight="1" x14ac:dyDescent="0.25">
      <c r="A71" s="201">
        <v>3</v>
      </c>
      <c r="B71" s="90" t="s">
        <v>890</v>
      </c>
      <c r="C71" s="65">
        <v>150</v>
      </c>
      <c r="D71" s="65">
        <v>130</v>
      </c>
      <c r="E71" s="65">
        <v>100</v>
      </c>
      <c r="F71" s="65">
        <v>3</v>
      </c>
      <c r="G71" s="90" t="s">
        <v>890</v>
      </c>
      <c r="H71" s="273">
        <f t="shared" si="2"/>
        <v>165</v>
      </c>
      <c r="I71" s="57">
        <f t="shared" si="0"/>
        <v>143</v>
      </c>
      <c r="J71" s="57">
        <f t="shared" si="0"/>
        <v>110.00000000000001</v>
      </c>
      <c r="K71" s="102"/>
    </row>
    <row r="72" spans="1:11" ht="36" customHeight="1" x14ac:dyDescent="0.25">
      <c r="A72" s="201">
        <v>4</v>
      </c>
      <c r="B72" s="90" t="s">
        <v>891</v>
      </c>
      <c r="C72" s="65">
        <v>250</v>
      </c>
      <c r="D72" s="65">
        <v>150</v>
      </c>
      <c r="E72" s="65">
        <v>100</v>
      </c>
      <c r="F72" s="65">
        <v>4</v>
      </c>
      <c r="G72" s="90" t="s">
        <v>891</v>
      </c>
      <c r="H72" s="273">
        <f t="shared" si="2"/>
        <v>275</v>
      </c>
      <c r="I72" s="57">
        <f t="shared" si="0"/>
        <v>165</v>
      </c>
      <c r="J72" s="57">
        <f t="shared" si="0"/>
        <v>110.00000000000001</v>
      </c>
      <c r="K72" s="102"/>
    </row>
    <row r="73" spans="1:11" ht="36" customHeight="1" x14ac:dyDescent="0.25">
      <c r="A73" s="201">
        <v>5</v>
      </c>
      <c r="B73" s="90" t="s">
        <v>892</v>
      </c>
      <c r="C73" s="65">
        <v>150</v>
      </c>
      <c r="D73" s="65">
        <v>130</v>
      </c>
      <c r="E73" s="65">
        <v>100</v>
      </c>
      <c r="F73" s="65">
        <v>5</v>
      </c>
      <c r="G73" s="90" t="s">
        <v>892</v>
      </c>
      <c r="H73" s="273">
        <f t="shared" si="2"/>
        <v>165</v>
      </c>
      <c r="I73" s="57">
        <f t="shared" si="0"/>
        <v>143</v>
      </c>
      <c r="J73" s="57">
        <f t="shared" si="0"/>
        <v>110.00000000000001</v>
      </c>
      <c r="K73" s="102"/>
    </row>
    <row r="74" spans="1:11" ht="36" customHeight="1" x14ac:dyDescent="0.25">
      <c r="A74" s="201">
        <v>6</v>
      </c>
      <c r="B74" s="90" t="s">
        <v>893</v>
      </c>
      <c r="C74" s="65">
        <v>250</v>
      </c>
      <c r="D74" s="65">
        <v>150</v>
      </c>
      <c r="E74" s="65">
        <v>100</v>
      </c>
      <c r="F74" s="65">
        <v>6</v>
      </c>
      <c r="G74" s="90" t="s">
        <v>893</v>
      </c>
      <c r="H74" s="273">
        <f t="shared" si="2"/>
        <v>275</v>
      </c>
      <c r="I74" s="57">
        <f t="shared" si="0"/>
        <v>165</v>
      </c>
      <c r="J74" s="57">
        <f t="shared" si="0"/>
        <v>110.00000000000001</v>
      </c>
      <c r="K74" s="102"/>
    </row>
    <row r="75" spans="1:11" x14ac:dyDescent="0.25">
      <c r="A75" s="201">
        <v>7</v>
      </c>
      <c r="B75" s="90" t="s">
        <v>894</v>
      </c>
      <c r="C75" s="65">
        <v>100</v>
      </c>
      <c r="D75" s="65">
        <v>75</v>
      </c>
      <c r="E75" s="65">
        <v>60</v>
      </c>
      <c r="F75" s="65">
        <v>7</v>
      </c>
      <c r="G75" s="90" t="s">
        <v>894</v>
      </c>
      <c r="H75" s="273">
        <f t="shared" si="2"/>
        <v>110.00000000000001</v>
      </c>
      <c r="I75" s="57">
        <f t="shared" si="0"/>
        <v>82.5</v>
      </c>
      <c r="J75" s="57">
        <f t="shared" si="0"/>
        <v>66</v>
      </c>
      <c r="K75" s="102"/>
    </row>
    <row r="76" spans="1:11" x14ac:dyDescent="0.25">
      <c r="A76" s="200" t="s">
        <v>441</v>
      </c>
      <c r="B76" s="84" t="s">
        <v>895</v>
      </c>
      <c r="C76" s="65"/>
      <c r="D76" s="65"/>
      <c r="E76" s="65"/>
      <c r="F76" s="82" t="s">
        <v>441</v>
      </c>
      <c r="G76" s="84" t="s">
        <v>895</v>
      </c>
      <c r="H76" s="273"/>
      <c r="I76" s="57"/>
      <c r="J76" s="57"/>
      <c r="K76" s="102"/>
    </row>
    <row r="77" spans="1:11" ht="36.75" customHeight="1" x14ac:dyDescent="0.25">
      <c r="A77" s="201">
        <v>1</v>
      </c>
      <c r="B77" s="90" t="s">
        <v>896</v>
      </c>
      <c r="C77" s="65">
        <v>120</v>
      </c>
      <c r="D77" s="65">
        <v>85</v>
      </c>
      <c r="E77" s="65">
        <v>70</v>
      </c>
      <c r="F77" s="65">
        <v>1</v>
      </c>
      <c r="G77" s="90" t="s">
        <v>896</v>
      </c>
      <c r="H77" s="273">
        <f t="shared" si="2"/>
        <v>132</v>
      </c>
      <c r="I77" s="57">
        <f t="shared" si="2"/>
        <v>93.500000000000014</v>
      </c>
      <c r="J77" s="57">
        <f t="shared" si="2"/>
        <v>77</v>
      </c>
      <c r="K77" s="102"/>
    </row>
    <row r="78" spans="1:11" ht="36.75" customHeight="1" x14ac:dyDescent="0.25">
      <c r="A78" s="201">
        <v>2</v>
      </c>
      <c r="B78" s="90" t="s">
        <v>897</v>
      </c>
      <c r="C78" s="65">
        <v>160</v>
      </c>
      <c r="D78" s="65">
        <v>120</v>
      </c>
      <c r="E78" s="65">
        <v>80</v>
      </c>
      <c r="F78" s="65">
        <v>2</v>
      </c>
      <c r="G78" s="90" t="s">
        <v>897</v>
      </c>
      <c r="H78" s="273">
        <f t="shared" si="2"/>
        <v>176</v>
      </c>
      <c r="I78" s="57">
        <f t="shared" si="2"/>
        <v>132</v>
      </c>
      <c r="J78" s="57">
        <f t="shared" si="2"/>
        <v>88</v>
      </c>
      <c r="K78" s="102"/>
    </row>
    <row r="79" spans="1:11" ht="36.75" customHeight="1" x14ac:dyDescent="0.25">
      <c r="A79" s="201">
        <v>3</v>
      </c>
      <c r="B79" s="90" t="s">
        <v>898</v>
      </c>
      <c r="C79" s="65">
        <v>120</v>
      </c>
      <c r="D79" s="65">
        <v>85</v>
      </c>
      <c r="E79" s="65">
        <v>70</v>
      </c>
      <c r="F79" s="65">
        <v>3</v>
      </c>
      <c r="G79" s="90" t="s">
        <v>898</v>
      </c>
      <c r="H79" s="273">
        <f t="shared" si="2"/>
        <v>132</v>
      </c>
      <c r="I79" s="57">
        <f t="shared" si="2"/>
        <v>93.500000000000014</v>
      </c>
      <c r="J79" s="57">
        <f t="shared" si="2"/>
        <v>77</v>
      </c>
      <c r="K79" s="102"/>
    </row>
    <row r="80" spans="1:11" ht="36.75" customHeight="1" x14ac:dyDescent="0.25">
      <c r="A80" s="201">
        <v>4</v>
      </c>
      <c r="B80" s="90" t="s">
        <v>899</v>
      </c>
      <c r="C80" s="65">
        <v>160</v>
      </c>
      <c r="D80" s="65">
        <v>120</v>
      </c>
      <c r="E80" s="65">
        <v>80</v>
      </c>
      <c r="F80" s="65">
        <v>4</v>
      </c>
      <c r="G80" s="90" t="s">
        <v>899</v>
      </c>
      <c r="H80" s="273">
        <f t="shared" si="2"/>
        <v>176</v>
      </c>
      <c r="I80" s="57">
        <f t="shared" si="2"/>
        <v>132</v>
      </c>
      <c r="J80" s="57">
        <f t="shared" si="2"/>
        <v>88</v>
      </c>
      <c r="K80" s="102"/>
    </row>
    <row r="81" spans="1:12" ht="36.75" customHeight="1" x14ac:dyDescent="0.25">
      <c r="A81" s="201">
        <v>5</v>
      </c>
      <c r="B81" s="90" t="s">
        <v>900</v>
      </c>
      <c r="C81" s="65">
        <v>120</v>
      </c>
      <c r="D81" s="65">
        <v>85</v>
      </c>
      <c r="E81" s="65">
        <v>70</v>
      </c>
      <c r="F81" s="65">
        <v>5</v>
      </c>
      <c r="G81" s="90" t="s">
        <v>900</v>
      </c>
      <c r="H81" s="273">
        <f t="shared" si="2"/>
        <v>132</v>
      </c>
      <c r="I81" s="57">
        <f t="shared" si="2"/>
        <v>93.500000000000014</v>
      </c>
      <c r="J81" s="57">
        <f t="shared" si="2"/>
        <v>77</v>
      </c>
      <c r="K81" s="102"/>
    </row>
    <row r="82" spans="1:12" ht="56.25" customHeight="1" x14ac:dyDescent="0.25">
      <c r="A82" s="201">
        <v>6</v>
      </c>
      <c r="B82" s="90" t="s">
        <v>901</v>
      </c>
      <c r="C82" s="65">
        <v>90</v>
      </c>
      <c r="D82" s="65">
        <v>70</v>
      </c>
      <c r="E82" s="65">
        <v>60</v>
      </c>
      <c r="F82" s="65">
        <v>6</v>
      </c>
      <c r="G82" s="90" t="s">
        <v>901</v>
      </c>
      <c r="H82" s="273">
        <f t="shared" si="2"/>
        <v>99.000000000000014</v>
      </c>
      <c r="I82" s="57">
        <f t="shared" si="2"/>
        <v>77</v>
      </c>
      <c r="J82" s="57">
        <f t="shared" si="2"/>
        <v>66</v>
      </c>
      <c r="K82" s="102"/>
    </row>
    <row r="83" spans="1:12" ht="36.75" customHeight="1" x14ac:dyDescent="0.25">
      <c r="A83" s="201">
        <v>7</v>
      </c>
      <c r="B83" s="90" t="s">
        <v>902</v>
      </c>
      <c r="C83" s="65">
        <v>120</v>
      </c>
      <c r="D83" s="65">
        <v>85</v>
      </c>
      <c r="E83" s="65">
        <v>70</v>
      </c>
      <c r="F83" s="65">
        <v>7</v>
      </c>
      <c r="G83" s="90" t="s">
        <v>902</v>
      </c>
      <c r="H83" s="273">
        <f t="shared" si="2"/>
        <v>132</v>
      </c>
      <c r="I83" s="57">
        <f t="shared" si="2"/>
        <v>93.500000000000014</v>
      </c>
      <c r="J83" s="57">
        <f t="shared" si="2"/>
        <v>77</v>
      </c>
      <c r="K83" s="102"/>
    </row>
    <row r="84" spans="1:12" x14ac:dyDescent="0.25">
      <c r="A84" s="201">
        <v>8</v>
      </c>
      <c r="B84" s="90" t="s">
        <v>894</v>
      </c>
      <c r="C84" s="65">
        <v>85</v>
      </c>
      <c r="D84" s="65">
        <v>65</v>
      </c>
      <c r="E84" s="65">
        <v>60</v>
      </c>
      <c r="F84" s="65">
        <v>8</v>
      </c>
      <c r="G84" s="90" t="s">
        <v>894</v>
      </c>
      <c r="H84" s="273">
        <f t="shared" si="2"/>
        <v>93.500000000000014</v>
      </c>
      <c r="I84" s="57">
        <f t="shared" si="2"/>
        <v>71.5</v>
      </c>
      <c r="J84" s="57">
        <f t="shared" si="2"/>
        <v>66</v>
      </c>
      <c r="K84" s="102"/>
    </row>
    <row r="85" spans="1:12" x14ac:dyDescent="0.25">
      <c r="A85" s="200" t="s">
        <v>449</v>
      </c>
      <c r="B85" s="84" t="s">
        <v>903</v>
      </c>
      <c r="C85" s="65"/>
      <c r="D85" s="65"/>
      <c r="E85" s="65"/>
      <c r="F85" s="82" t="s">
        <v>449</v>
      </c>
      <c r="G85" s="84" t="s">
        <v>903</v>
      </c>
      <c r="H85" s="273"/>
      <c r="I85" s="57"/>
      <c r="J85" s="57"/>
      <c r="K85" s="102"/>
    </row>
    <row r="86" spans="1:12" ht="57" customHeight="1" x14ac:dyDescent="0.25">
      <c r="A86" s="201">
        <v>1</v>
      </c>
      <c r="B86" s="90" t="s">
        <v>904</v>
      </c>
      <c r="C86" s="65">
        <v>120</v>
      </c>
      <c r="D86" s="65">
        <v>72</v>
      </c>
      <c r="E86" s="65">
        <v>50</v>
      </c>
      <c r="F86" s="65">
        <v>1</v>
      </c>
      <c r="G86" s="90" t="s">
        <v>905</v>
      </c>
      <c r="H86" s="273">
        <f t="shared" si="2"/>
        <v>132</v>
      </c>
      <c r="I86" s="57">
        <f t="shared" si="2"/>
        <v>79.2</v>
      </c>
      <c r="J86" s="57">
        <f t="shared" si="2"/>
        <v>55.000000000000007</v>
      </c>
      <c r="K86" s="102"/>
      <c r="L86" s="66" t="s">
        <v>718</v>
      </c>
    </row>
    <row r="87" spans="1:12" ht="57" customHeight="1" x14ac:dyDescent="0.25">
      <c r="A87" s="201">
        <v>2</v>
      </c>
      <c r="B87" s="90" t="s">
        <v>906</v>
      </c>
      <c r="C87" s="65">
        <v>160</v>
      </c>
      <c r="D87" s="65">
        <v>120</v>
      </c>
      <c r="E87" s="65">
        <v>80</v>
      </c>
      <c r="F87" s="65">
        <v>2</v>
      </c>
      <c r="G87" s="90" t="s">
        <v>906</v>
      </c>
      <c r="H87" s="273">
        <f t="shared" si="2"/>
        <v>176</v>
      </c>
      <c r="I87" s="57">
        <f t="shared" si="2"/>
        <v>132</v>
      </c>
      <c r="J87" s="57">
        <f t="shared" si="2"/>
        <v>88</v>
      </c>
      <c r="K87" s="102"/>
    </row>
    <row r="88" spans="1:12" ht="57" customHeight="1" x14ac:dyDescent="0.25">
      <c r="A88" s="201">
        <v>3</v>
      </c>
      <c r="B88" s="90" t="s">
        <v>907</v>
      </c>
      <c r="C88" s="65">
        <v>90</v>
      </c>
      <c r="D88" s="65">
        <v>55</v>
      </c>
      <c r="E88" s="65">
        <v>40</v>
      </c>
      <c r="F88" s="65">
        <v>3</v>
      </c>
      <c r="G88" s="90" t="s">
        <v>907</v>
      </c>
      <c r="H88" s="273">
        <f t="shared" si="2"/>
        <v>99.000000000000014</v>
      </c>
      <c r="I88" s="57">
        <f t="shared" si="2"/>
        <v>60.500000000000007</v>
      </c>
      <c r="J88" s="57">
        <f t="shared" si="2"/>
        <v>44</v>
      </c>
      <c r="K88" s="102"/>
    </row>
    <row r="89" spans="1:12" x14ac:dyDescent="0.25">
      <c r="A89" s="201">
        <v>4</v>
      </c>
      <c r="B89" s="90" t="s">
        <v>894</v>
      </c>
      <c r="C89" s="65">
        <v>85</v>
      </c>
      <c r="D89" s="65">
        <v>65</v>
      </c>
      <c r="E89" s="65">
        <v>60</v>
      </c>
      <c r="F89" s="65">
        <v>4</v>
      </c>
      <c r="G89" s="90" t="s">
        <v>894</v>
      </c>
      <c r="H89" s="273">
        <f t="shared" si="2"/>
        <v>93.500000000000014</v>
      </c>
      <c r="I89" s="57">
        <f t="shared" si="2"/>
        <v>71.5</v>
      </c>
      <c r="J89" s="57">
        <f t="shared" si="2"/>
        <v>66</v>
      </c>
      <c r="K89" s="102"/>
    </row>
    <row r="90" spans="1:12" ht="33" x14ac:dyDescent="0.25">
      <c r="A90" s="200" t="s">
        <v>454</v>
      </c>
      <c r="B90" s="84" t="s">
        <v>908</v>
      </c>
      <c r="C90" s="65"/>
      <c r="D90" s="65"/>
      <c r="E90" s="65"/>
      <c r="F90" s="82" t="s">
        <v>454</v>
      </c>
      <c r="G90" s="84" t="s">
        <v>908</v>
      </c>
      <c r="H90" s="273"/>
      <c r="I90" s="57"/>
      <c r="J90" s="57"/>
      <c r="K90" s="102"/>
    </row>
    <row r="91" spans="1:12" ht="38.25" customHeight="1" x14ac:dyDescent="0.25">
      <c r="A91" s="201">
        <v>1</v>
      </c>
      <c r="B91" s="90" t="s">
        <v>909</v>
      </c>
      <c r="C91" s="65">
        <v>120</v>
      </c>
      <c r="D91" s="65">
        <v>85</v>
      </c>
      <c r="E91" s="65">
        <v>70</v>
      </c>
      <c r="F91" s="65">
        <v>1</v>
      </c>
      <c r="G91" s="90" t="s">
        <v>909</v>
      </c>
      <c r="H91" s="273">
        <f t="shared" ref="H91:J115" si="3">C91*1.1</f>
        <v>132</v>
      </c>
      <c r="I91" s="57">
        <f t="shared" si="3"/>
        <v>93.500000000000014</v>
      </c>
      <c r="J91" s="57">
        <f t="shared" si="3"/>
        <v>77</v>
      </c>
      <c r="K91" s="102"/>
    </row>
    <row r="92" spans="1:12" ht="38.25" customHeight="1" x14ac:dyDescent="0.25">
      <c r="A92" s="201">
        <v>2</v>
      </c>
      <c r="B92" s="90" t="s">
        <v>910</v>
      </c>
      <c r="C92" s="65">
        <v>600</v>
      </c>
      <c r="D92" s="65">
        <v>320</v>
      </c>
      <c r="E92" s="65">
        <v>250</v>
      </c>
      <c r="F92" s="65">
        <v>2</v>
      </c>
      <c r="G92" s="90" t="s">
        <v>910</v>
      </c>
      <c r="H92" s="273">
        <f t="shared" si="3"/>
        <v>660</v>
      </c>
      <c r="I92" s="57">
        <f t="shared" si="3"/>
        <v>352</v>
      </c>
      <c r="J92" s="57">
        <f t="shared" si="3"/>
        <v>275</v>
      </c>
      <c r="K92" s="102"/>
    </row>
    <row r="93" spans="1:12" ht="38.25" customHeight="1" x14ac:dyDescent="0.25">
      <c r="A93" s="201">
        <v>3</v>
      </c>
      <c r="B93" s="90" t="s">
        <v>911</v>
      </c>
      <c r="C93" s="65">
        <v>380</v>
      </c>
      <c r="D93" s="65">
        <v>250</v>
      </c>
      <c r="E93" s="65">
        <v>160</v>
      </c>
      <c r="F93" s="65">
        <v>3</v>
      </c>
      <c r="G93" s="90" t="s">
        <v>911</v>
      </c>
      <c r="H93" s="273">
        <f t="shared" si="3"/>
        <v>418.00000000000006</v>
      </c>
      <c r="I93" s="57">
        <f t="shared" si="3"/>
        <v>275</v>
      </c>
      <c r="J93" s="57">
        <f t="shared" si="3"/>
        <v>176</v>
      </c>
      <c r="K93" s="102"/>
    </row>
    <row r="94" spans="1:12" ht="38.25" customHeight="1" x14ac:dyDescent="0.25">
      <c r="A94" s="201">
        <v>4</v>
      </c>
      <c r="B94" s="90" t="s">
        <v>912</v>
      </c>
      <c r="C94" s="65">
        <v>120</v>
      </c>
      <c r="D94" s="65">
        <v>85</v>
      </c>
      <c r="E94" s="65">
        <v>70</v>
      </c>
      <c r="F94" s="65">
        <v>4</v>
      </c>
      <c r="G94" s="90" t="s">
        <v>912</v>
      </c>
      <c r="H94" s="273">
        <f t="shared" si="3"/>
        <v>132</v>
      </c>
      <c r="I94" s="57">
        <f t="shared" si="3"/>
        <v>93.500000000000014</v>
      </c>
      <c r="J94" s="57">
        <f t="shared" si="3"/>
        <v>77</v>
      </c>
      <c r="K94" s="102"/>
    </row>
    <row r="95" spans="1:12" ht="38.25" customHeight="1" x14ac:dyDescent="0.25">
      <c r="A95" s="201">
        <v>5</v>
      </c>
      <c r="B95" s="90" t="s">
        <v>913</v>
      </c>
      <c r="C95" s="65">
        <v>600</v>
      </c>
      <c r="D95" s="65">
        <v>320</v>
      </c>
      <c r="E95" s="65">
        <v>250</v>
      </c>
      <c r="F95" s="65">
        <v>5</v>
      </c>
      <c r="G95" s="90" t="s">
        <v>913</v>
      </c>
      <c r="H95" s="273">
        <f t="shared" si="3"/>
        <v>660</v>
      </c>
      <c r="I95" s="57">
        <f t="shared" si="3"/>
        <v>352</v>
      </c>
      <c r="J95" s="57">
        <f t="shared" si="3"/>
        <v>275</v>
      </c>
      <c r="K95" s="102"/>
    </row>
    <row r="96" spans="1:12" ht="38.25" customHeight="1" x14ac:dyDescent="0.25">
      <c r="A96" s="201">
        <v>6</v>
      </c>
      <c r="B96" s="90" t="s">
        <v>914</v>
      </c>
      <c r="C96" s="65">
        <v>300</v>
      </c>
      <c r="D96" s="65">
        <v>200</v>
      </c>
      <c r="E96" s="65">
        <v>150</v>
      </c>
      <c r="F96" s="65">
        <v>6</v>
      </c>
      <c r="G96" s="90" t="s">
        <v>914</v>
      </c>
      <c r="H96" s="273">
        <f t="shared" si="3"/>
        <v>330</v>
      </c>
      <c r="I96" s="57">
        <f t="shared" si="3"/>
        <v>220.00000000000003</v>
      </c>
      <c r="J96" s="57">
        <f t="shared" si="3"/>
        <v>165</v>
      </c>
      <c r="K96" s="102"/>
    </row>
    <row r="97" spans="1:12" ht="38.25" customHeight="1" x14ac:dyDescent="0.25">
      <c r="A97" s="201">
        <v>7</v>
      </c>
      <c r="B97" s="90" t="s">
        <v>915</v>
      </c>
      <c r="C97" s="65">
        <v>120</v>
      </c>
      <c r="D97" s="65">
        <v>85</v>
      </c>
      <c r="E97" s="65">
        <v>70</v>
      </c>
      <c r="F97" s="65">
        <v>7</v>
      </c>
      <c r="G97" s="90" t="s">
        <v>915</v>
      </c>
      <c r="H97" s="273">
        <f t="shared" si="3"/>
        <v>132</v>
      </c>
      <c r="I97" s="57">
        <f t="shared" si="3"/>
        <v>93.500000000000014</v>
      </c>
      <c r="J97" s="57">
        <f t="shared" si="3"/>
        <v>77</v>
      </c>
      <c r="K97" s="102"/>
    </row>
    <row r="98" spans="1:12" ht="38.25" customHeight="1" x14ac:dyDescent="0.25">
      <c r="A98" s="201">
        <v>8</v>
      </c>
      <c r="B98" s="90" t="s">
        <v>916</v>
      </c>
      <c r="C98" s="65">
        <v>100</v>
      </c>
      <c r="D98" s="65">
        <v>75</v>
      </c>
      <c r="E98" s="65">
        <v>60</v>
      </c>
      <c r="F98" s="65">
        <v>8</v>
      </c>
      <c r="G98" s="90" t="s">
        <v>916</v>
      </c>
      <c r="H98" s="273">
        <f t="shared" si="3"/>
        <v>110.00000000000001</v>
      </c>
      <c r="I98" s="57">
        <f t="shared" si="3"/>
        <v>82.5</v>
      </c>
      <c r="J98" s="57">
        <f t="shared" si="3"/>
        <v>66</v>
      </c>
      <c r="K98" s="102"/>
    </row>
    <row r="99" spans="1:12" ht="33" x14ac:dyDescent="0.25">
      <c r="A99" s="201">
        <v>9</v>
      </c>
      <c r="B99" s="90" t="s">
        <v>917</v>
      </c>
      <c r="C99" s="65">
        <v>520</v>
      </c>
      <c r="D99" s="65">
        <v>310</v>
      </c>
      <c r="E99" s="65">
        <v>260</v>
      </c>
      <c r="F99" s="65">
        <v>9</v>
      </c>
      <c r="G99" s="90" t="s">
        <v>917</v>
      </c>
      <c r="H99" s="273">
        <f t="shared" si="3"/>
        <v>572</v>
      </c>
      <c r="I99" s="57">
        <f t="shared" si="3"/>
        <v>341</v>
      </c>
      <c r="J99" s="57">
        <f t="shared" si="3"/>
        <v>286</v>
      </c>
      <c r="K99" s="102"/>
    </row>
    <row r="100" spans="1:12" x14ac:dyDescent="0.25">
      <c r="A100" s="201">
        <v>10</v>
      </c>
      <c r="B100" s="90" t="s">
        <v>918</v>
      </c>
      <c r="C100" s="65">
        <v>80</v>
      </c>
      <c r="D100" s="65">
        <v>65</v>
      </c>
      <c r="E100" s="65">
        <v>60</v>
      </c>
      <c r="F100" s="65">
        <v>10</v>
      </c>
      <c r="G100" s="90" t="s">
        <v>918</v>
      </c>
      <c r="H100" s="273">
        <f t="shared" si="3"/>
        <v>88</v>
      </c>
      <c r="I100" s="57">
        <f t="shared" si="3"/>
        <v>71.5</v>
      </c>
      <c r="J100" s="57">
        <f t="shared" si="3"/>
        <v>66</v>
      </c>
      <c r="K100" s="102"/>
    </row>
    <row r="101" spans="1:12" ht="33" x14ac:dyDescent="0.25">
      <c r="A101" s="200" t="s">
        <v>675</v>
      </c>
      <c r="B101" s="84" t="s">
        <v>919</v>
      </c>
      <c r="C101" s="65"/>
      <c r="D101" s="65"/>
      <c r="E101" s="65"/>
      <c r="F101" s="82" t="s">
        <v>675</v>
      </c>
      <c r="G101" s="84" t="s">
        <v>919</v>
      </c>
      <c r="H101" s="273"/>
      <c r="I101" s="57"/>
      <c r="J101" s="57"/>
      <c r="K101" s="102"/>
    </row>
    <row r="102" spans="1:12" ht="33" x14ac:dyDescent="0.25">
      <c r="A102" s="201">
        <v>1</v>
      </c>
      <c r="B102" s="90" t="s">
        <v>920</v>
      </c>
      <c r="C102" s="65">
        <v>120</v>
      </c>
      <c r="D102" s="65">
        <v>85</v>
      </c>
      <c r="E102" s="65">
        <v>70</v>
      </c>
      <c r="F102" s="65">
        <v>1</v>
      </c>
      <c r="G102" s="90" t="s">
        <v>920</v>
      </c>
      <c r="H102" s="273">
        <f t="shared" si="3"/>
        <v>132</v>
      </c>
      <c r="I102" s="57">
        <f t="shared" si="3"/>
        <v>93.500000000000014</v>
      </c>
      <c r="J102" s="57">
        <f t="shared" si="3"/>
        <v>77</v>
      </c>
      <c r="K102" s="102"/>
    </row>
    <row r="103" spans="1:12" ht="33" x14ac:dyDescent="0.25">
      <c r="A103" s="201">
        <v>2</v>
      </c>
      <c r="B103" s="90" t="s">
        <v>921</v>
      </c>
      <c r="C103" s="65">
        <v>160</v>
      </c>
      <c r="D103" s="65">
        <v>120</v>
      </c>
      <c r="E103" s="65">
        <v>80</v>
      </c>
      <c r="F103" s="65">
        <v>2</v>
      </c>
      <c r="G103" s="90" t="s">
        <v>921</v>
      </c>
      <c r="H103" s="273">
        <f t="shared" si="3"/>
        <v>176</v>
      </c>
      <c r="I103" s="57">
        <f t="shared" si="3"/>
        <v>132</v>
      </c>
      <c r="J103" s="57">
        <f t="shared" si="3"/>
        <v>88</v>
      </c>
      <c r="K103" s="102"/>
    </row>
    <row r="104" spans="1:12" ht="33" x14ac:dyDescent="0.25">
      <c r="A104" s="201">
        <v>3</v>
      </c>
      <c r="B104" s="90" t="s">
        <v>922</v>
      </c>
      <c r="C104" s="65">
        <v>90</v>
      </c>
      <c r="D104" s="65">
        <v>65</v>
      </c>
      <c r="E104" s="65">
        <v>60</v>
      </c>
      <c r="F104" s="65">
        <v>3</v>
      </c>
      <c r="G104" s="90" t="s">
        <v>922</v>
      </c>
      <c r="H104" s="273">
        <f t="shared" si="3"/>
        <v>99.000000000000014</v>
      </c>
      <c r="I104" s="57">
        <f t="shared" si="3"/>
        <v>71.5</v>
      </c>
      <c r="J104" s="57">
        <f t="shared" si="3"/>
        <v>66</v>
      </c>
      <c r="K104" s="102"/>
    </row>
    <row r="105" spans="1:12" x14ac:dyDescent="0.25">
      <c r="A105" s="201">
        <v>4</v>
      </c>
      <c r="B105" s="90" t="s">
        <v>852</v>
      </c>
      <c r="C105" s="65">
        <v>70</v>
      </c>
      <c r="D105" s="65">
        <v>60</v>
      </c>
      <c r="E105" s="65">
        <v>55</v>
      </c>
      <c r="F105" s="65">
        <v>4</v>
      </c>
      <c r="G105" s="90" t="s">
        <v>852</v>
      </c>
      <c r="H105" s="273">
        <f t="shared" si="3"/>
        <v>77</v>
      </c>
      <c r="I105" s="57">
        <f t="shared" si="3"/>
        <v>66</v>
      </c>
      <c r="J105" s="57">
        <f t="shared" si="3"/>
        <v>60.500000000000007</v>
      </c>
      <c r="K105" s="102"/>
    </row>
    <row r="106" spans="1:12" x14ac:dyDescent="0.25">
      <c r="A106" s="200" t="s">
        <v>680</v>
      </c>
      <c r="B106" s="84" t="s">
        <v>923</v>
      </c>
      <c r="C106" s="65"/>
      <c r="D106" s="65"/>
      <c r="E106" s="65"/>
      <c r="F106" s="82" t="s">
        <v>680</v>
      </c>
      <c r="G106" s="84" t="s">
        <v>923</v>
      </c>
      <c r="H106" s="273"/>
      <c r="I106" s="57"/>
      <c r="J106" s="57"/>
      <c r="K106" s="102"/>
    </row>
    <row r="107" spans="1:12" ht="49.5" x14ac:dyDescent="0.25">
      <c r="A107" s="201">
        <v>1</v>
      </c>
      <c r="B107" s="90" t="s">
        <v>924</v>
      </c>
      <c r="C107" s="65">
        <v>100</v>
      </c>
      <c r="D107" s="65">
        <v>75</v>
      </c>
      <c r="E107" s="65">
        <v>60</v>
      </c>
      <c r="F107" s="65">
        <v>1</v>
      </c>
      <c r="G107" s="90" t="s">
        <v>924</v>
      </c>
      <c r="H107" s="273">
        <f t="shared" si="3"/>
        <v>110.00000000000001</v>
      </c>
      <c r="I107" s="57">
        <f t="shared" si="3"/>
        <v>82.5</v>
      </c>
      <c r="J107" s="57">
        <f t="shared" si="3"/>
        <v>66</v>
      </c>
      <c r="K107" s="102"/>
    </row>
    <row r="108" spans="1:12" ht="42.75" customHeight="1" x14ac:dyDescent="0.25">
      <c r="A108" s="201">
        <v>2</v>
      </c>
      <c r="B108" s="90" t="s">
        <v>925</v>
      </c>
      <c r="C108" s="65">
        <v>150</v>
      </c>
      <c r="D108" s="65">
        <v>100</v>
      </c>
      <c r="E108" s="65">
        <v>80</v>
      </c>
      <c r="F108" s="65">
        <v>2</v>
      </c>
      <c r="G108" s="90" t="s">
        <v>925</v>
      </c>
      <c r="H108" s="273">
        <f t="shared" si="3"/>
        <v>165</v>
      </c>
      <c r="I108" s="57">
        <f t="shared" si="3"/>
        <v>110.00000000000001</v>
      </c>
      <c r="J108" s="57">
        <f t="shared" si="3"/>
        <v>88</v>
      </c>
      <c r="K108" s="102"/>
    </row>
    <row r="109" spans="1:12" ht="36" customHeight="1" x14ac:dyDescent="0.25">
      <c r="A109" s="201">
        <v>3</v>
      </c>
      <c r="B109" s="90" t="s">
        <v>926</v>
      </c>
      <c r="C109" s="65">
        <v>100</v>
      </c>
      <c r="D109" s="65">
        <v>75</v>
      </c>
      <c r="E109" s="65">
        <v>60</v>
      </c>
      <c r="F109" s="65">
        <v>3</v>
      </c>
      <c r="G109" s="90" t="s">
        <v>926</v>
      </c>
      <c r="H109" s="273">
        <f t="shared" si="3"/>
        <v>110.00000000000001</v>
      </c>
      <c r="I109" s="57">
        <f t="shared" si="3"/>
        <v>82.5</v>
      </c>
      <c r="J109" s="57">
        <f t="shared" si="3"/>
        <v>66</v>
      </c>
      <c r="K109" s="102"/>
    </row>
    <row r="110" spans="1:12" x14ac:dyDescent="0.25">
      <c r="A110" s="201">
        <v>4</v>
      </c>
      <c r="B110" s="90" t="s">
        <v>852</v>
      </c>
      <c r="C110" s="65">
        <v>85</v>
      </c>
      <c r="D110" s="65">
        <v>65</v>
      </c>
      <c r="E110" s="65">
        <v>60</v>
      </c>
      <c r="F110" s="65">
        <v>4</v>
      </c>
      <c r="G110" s="90" t="s">
        <v>852</v>
      </c>
      <c r="H110" s="273">
        <f t="shared" si="3"/>
        <v>93.500000000000014</v>
      </c>
      <c r="I110" s="57">
        <f t="shared" si="3"/>
        <v>71.5</v>
      </c>
      <c r="J110" s="57">
        <f t="shared" si="3"/>
        <v>66</v>
      </c>
      <c r="K110" s="102"/>
    </row>
    <row r="111" spans="1:12" ht="33" x14ac:dyDescent="0.25">
      <c r="A111" s="200" t="s">
        <v>684</v>
      </c>
      <c r="B111" s="84" t="s">
        <v>927</v>
      </c>
      <c r="C111" s="65"/>
      <c r="D111" s="65"/>
      <c r="E111" s="65"/>
      <c r="F111" s="82" t="s">
        <v>684</v>
      </c>
      <c r="G111" s="84" t="s">
        <v>927</v>
      </c>
      <c r="H111" s="273"/>
      <c r="I111" s="57"/>
      <c r="J111" s="57"/>
      <c r="K111" s="102"/>
    </row>
    <row r="112" spans="1:12" ht="49.5" x14ac:dyDescent="0.25">
      <c r="A112" s="201">
        <v>1</v>
      </c>
      <c r="B112" s="90" t="s">
        <v>928</v>
      </c>
      <c r="C112" s="65">
        <v>85</v>
      </c>
      <c r="D112" s="65">
        <v>65</v>
      </c>
      <c r="E112" s="65">
        <v>60</v>
      </c>
      <c r="F112" s="65">
        <v>1</v>
      </c>
      <c r="G112" s="90" t="s">
        <v>928</v>
      </c>
      <c r="H112" s="273">
        <f t="shared" si="3"/>
        <v>93.500000000000014</v>
      </c>
      <c r="I112" s="57">
        <f t="shared" si="3"/>
        <v>71.5</v>
      </c>
      <c r="J112" s="57">
        <f t="shared" si="3"/>
        <v>66</v>
      </c>
      <c r="K112" s="102"/>
      <c r="L112" s="205"/>
    </row>
    <row r="113" spans="1:12" ht="33" x14ac:dyDescent="0.25">
      <c r="A113" s="201">
        <v>2</v>
      </c>
      <c r="B113" s="90" t="s">
        <v>929</v>
      </c>
      <c r="C113" s="65">
        <v>120</v>
      </c>
      <c r="D113" s="65">
        <v>72</v>
      </c>
      <c r="E113" s="65">
        <v>50</v>
      </c>
      <c r="F113" s="65">
        <v>2</v>
      </c>
      <c r="G113" s="90" t="s">
        <v>930</v>
      </c>
      <c r="H113" s="97">
        <v>94</v>
      </c>
      <c r="I113" s="97">
        <v>72</v>
      </c>
      <c r="J113" s="97">
        <v>66</v>
      </c>
      <c r="K113" s="66"/>
      <c r="L113" s="205" t="s">
        <v>931</v>
      </c>
    </row>
    <row r="114" spans="1:12" ht="33" x14ac:dyDescent="0.25">
      <c r="A114" s="201">
        <v>3</v>
      </c>
      <c r="B114" s="65" t="s">
        <v>932</v>
      </c>
      <c r="C114" s="65">
        <v>85</v>
      </c>
      <c r="D114" s="65">
        <v>65</v>
      </c>
      <c r="E114" s="65">
        <v>60</v>
      </c>
      <c r="F114" s="65">
        <v>3</v>
      </c>
      <c r="G114" s="90" t="s">
        <v>932</v>
      </c>
      <c r="H114" s="97">
        <v>132</v>
      </c>
      <c r="I114" s="97">
        <v>79</v>
      </c>
      <c r="J114" s="97">
        <v>55</v>
      </c>
      <c r="K114" s="66"/>
      <c r="L114" s="205" t="s">
        <v>931</v>
      </c>
    </row>
    <row r="115" spans="1:12" ht="17.25" thickBot="1" x14ac:dyDescent="0.3">
      <c r="A115" s="206">
        <v>4</v>
      </c>
      <c r="B115" s="90" t="s">
        <v>852</v>
      </c>
      <c r="C115" s="65">
        <v>70</v>
      </c>
      <c r="D115" s="65">
        <v>60</v>
      </c>
      <c r="E115" s="65">
        <v>55</v>
      </c>
      <c r="F115" s="65">
        <v>4</v>
      </c>
      <c r="G115" s="90" t="s">
        <v>852</v>
      </c>
      <c r="H115" s="273">
        <f t="shared" si="3"/>
        <v>77</v>
      </c>
      <c r="I115" s="57">
        <f t="shared" si="3"/>
        <v>66</v>
      </c>
      <c r="J115" s="57">
        <f t="shared" si="3"/>
        <v>60.500000000000007</v>
      </c>
      <c r="K115" s="102"/>
    </row>
    <row r="116" spans="1:12" ht="17.25" thickTop="1" x14ac:dyDescent="0.25"/>
  </sheetData>
  <mergeCells count="9">
    <mergeCell ref="F1:J1"/>
    <mergeCell ref="L8:L11"/>
    <mergeCell ref="A3:A4"/>
    <mergeCell ref="B3:B4"/>
    <mergeCell ref="C3:E3"/>
    <mergeCell ref="F3:F4"/>
    <mergeCell ref="G3:G4"/>
    <mergeCell ref="H3:J3"/>
    <mergeCell ref="G2:J2"/>
  </mergeCells>
  <pageMargins left="0.28740157480314998" right="0.19055118110236199" top="0.49055118110236201" bottom="0.19055118110236199" header="0.118110236220472" footer="0.118110236220472"/>
  <pageSetup paperSize="9" firstPageNumber="46" orientation="portrait"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1.Thành phố ĐBP</vt:lpstr>
      <vt:lpstr>2. Huyện Điện Biên</vt:lpstr>
      <vt:lpstr>3. Điện Biên Đông</vt:lpstr>
      <vt:lpstr>4. Mường Ảng</vt:lpstr>
      <vt:lpstr>5. Tuần Giáo</vt:lpstr>
      <vt:lpstr>6. Mường Nhé</vt:lpstr>
      <vt:lpstr>7.Mường Chà</vt:lpstr>
      <vt:lpstr>8. Nậm Pồ</vt:lpstr>
      <vt:lpstr>9. Tủa Chùa</vt:lpstr>
      <vt:lpstr>10. Mường Lay</vt:lpstr>
      <vt:lpstr>'1.Thành phố ĐBP'!Print_Titles</vt:lpstr>
      <vt:lpstr>'10. Mường Lay'!Print_Titles</vt:lpstr>
      <vt:lpstr>'2. Huyện Điện Biên'!Print_Titles</vt:lpstr>
      <vt:lpstr>'3. Điện Biên Đông'!Print_Titles</vt:lpstr>
      <vt:lpstr>'4. Mường Ảng'!Print_Titles</vt:lpstr>
      <vt:lpstr>'5. Tuần Giáo'!Print_Titles</vt:lpstr>
      <vt:lpstr>'6. Mường Nhé'!Print_Titles</vt:lpstr>
      <vt:lpstr>'7.Mường Chà'!Print_Titles</vt:lpstr>
      <vt:lpstr>'8. Nậm Pồ'!Print_Titles</vt:lpstr>
      <vt:lpstr>'9. Tủa Chùa'!Print_Titles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2024-12-08T05:13:27Z</dcterms:modified>
</cp:coreProperties>
</file>